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Default Extension="bin" ContentType="application/vnd.openxmlformats-officedocument.spreadsheetml.printerSettings"/>
  <Default Extension="psdsor" ContentType="application/vnd.openxmlformats-package.digital-signature-origin"/>
  <Default Extension="psdsxs" ContentType="application/vnd.openxmlformats-package.digital-signature-xmlsignature+xml"/>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Override PartName="/xl/worksheets/sheet49.xml" ContentType="application/vnd.openxmlformats-officedocument.spreadsheetml.worksheet+xml"/>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package/2006/relationships/digital-signature/origin" Target="/package/services/digital-signature/origin.psdsor" Id="Rca4cb72f25c54c43" /></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8190" yWindow="510" windowWidth="10170" windowHeight="7590" tabRatio="851" firstSheet="37" activeTab="47"/>
  </bookViews>
  <sheets>
    <sheet name="0000" sheetId="38" state="veryHidden" r:id="rId1"/>
    <sheet name="foxz" sheetId="39" state="hidden" r:id="rId2"/>
    <sheet name="TGTSCD" sheetId="37" state="hidden" r:id="rId3"/>
    <sheet name="Ten " sheetId="4" state="hidden" r:id="rId4"/>
    <sheet name="BCDPS" sheetId="36" state="hidden" r:id="rId5"/>
    <sheet name="BTDC" sheetId="8" state="hidden" r:id="rId6"/>
    <sheet name="TH DC" sheetId="10" state="hidden" r:id="rId7"/>
    <sheet name="XXXXXXX" sheetId="43" state="veryHidden" r:id="rId8"/>
    <sheet name="XXXXXXXXX" sheetId="44" state="veryHidden" r:id="rId9"/>
    <sheet name="Recovered_Sheet1" sheetId="45" state="veryHidden" r:id="rId10"/>
    <sheet name="Recovered_Sheet2" sheetId="46" state="veryHidden" r:id="rId11"/>
    <sheet name="Recovered_Sheet3" sheetId="47" state="veryHidden" r:id="rId12"/>
    <sheet name="Recovered_Sheet4" sheetId="48" state="veryHidden" r:id="rId13"/>
    <sheet name="Recovered_Sheet5" sheetId="49" state="veryHidden" r:id="rId14"/>
    <sheet name="Recovered_Sheet6" sheetId="50" state="veryHidden" r:id="rId15"/>
    <sheet name="Recovered_Sheet7" sheetId="51" state="veryHidden" r:id="rId16"/>
    <sheet name="XXXXXXXXXX" sheetId="52" state="veryHidden" r:id="rId17"/>
    <sheet name="Recovered_Sheet8" sheetId="53" state="veryHidden" r:id="rId18"/>
    <sheet name="Recovered_Sheet9" sheetId="54" state="veryHidden" r:id="rId19"/>
    <sheet name="Recovered_Sheet10" sheetId="55" state="veryHidden" r:id="rId20"/>
    <sheet name="Recovered_Sheet11" sheetId="56" state="veryHidden" r:id="rId21"/>
    <sheet name="Recovered_Sheet12" sheetId="57" state="veryHidden" r:id="rId22"/>
    <sheet name="Recovered_Sheet13" sheetId="58" state="veryHidden" r:id="rId23"/>
    <sheet name="Recovered_Sheet14" sheetId="59" state="veryHidden" r:id="rId24"/>
    <sheet name="Recovered_Sheet15" sheetId="60" state="veryHidden" r:id="rId25"/>
    <sheet name="Recovered_Sheet16" sheetId="61" state="veryHidden" r:id="rId26"/>
    <sheet name="Recovered_Sheet17" sheetId="62" state="veryHidden" r:id="rId27"/>
    <sheet name="Recovered_Sheet18" sheetId="63" state="veryHidden" r:id="rId28"/>
    <sheet name="Recovered_Sheet19" sheetId="64" state="veryHidden" r:id="rId29"/>
    <sheet name="Recovered_Sheet20" sheetId="65" state="veryHidden" r:id="rId30"/>
    <sheet name="Recovered_Sheet21" sheetId="66" state="veryHidden" r:id="rId31"/>
    <sheet name="Recovered_Sheet22" sheetId="67" state="veryHidden" r:id="rId32"/>
    <sheet name="Recovered_Sheet23" sheetId="68" state="veryHidden" r:id="rId33"/>
    <sheet name="Recovered_Sheet24" sheetId="69" state="veryHidden" r:id="rId34"/>
    <sheet name="Recovered_Sheet25" sheetId="70" state="veryHidden" r:id="rId35"/>
    <sheet name="Recovered_Sheet26" sheetId="71" state="veryHidden" r:id="rId36"/>
    <sheet name="Recovered_Sheet27" sheetId="72" state="veryHidden" r:id="rId37"/>
    <sheet name="01-Bia" sheetId="31" r:id="rId38"/>
    <sheet name="02-BGD" sheetId="32" r:id="rId39"/>
    <sheet name="BS" sheetId="1" r:id="rId40"/>
    <sheet name="LCTT&lt;GT&gt;" sheetId="33" state="hidden" r:id="rId41"/>
    <sheet name="PI" sheetId="40" r:id="rId42"/>
    <sheet name="LCTT&lt;TT&gt;" sheetId="41" r:id="rId43"/>
    <sheet name="Note 1_7" sheetId="11" r:id="rId44"/>
    <sheet name="Note 8_TSCD" sheetId="24" r:id="rId45"/>
    <sheet name="Note 9_21" sheetId="29" r:id="rId46"/>
    <sheet name="Note 22_NV" sheetId="27" r:id="rId47"/>
    <sheet name="Note 23_het " sheetId="30" r:id="rId48"/>
    <sheet name="Sheet1" sheetId="42" state="hidden" r:id="rId49"/>
    <sheet name="00000000" sheetId="21" state="veryHidden" r:id="rId50"/>
  </sheets>
  <definedNames>
    <definedName name="\T">#REF!</definedName>
    <definedName name="__Count">9</definedName>
    <definedName name="_01_01_99">#REF!</definedName>
    <definedName name="_01_02_99">#REF!</definedName>
    <definedName name="_01_03_99">#REF!</definedName>
    <definedName name="_01_04_99">#REF!</definedName>
    <definedName name="_01_05_99">#REF!</definedName>
    <definedName name="_01_06_99">#REF!</definedName>
    <definedName name="_01_07_99">#REF!</definedName>
    <definedName name="_01_08_1999">#REF!</definedName>
    <definedName name="_01_11_2001">#N/A</definedName>
    <definedName name="_1" localSheetId="40">#REF!</definedName>
    <definedName name="_1">#REF!</definedName>
    <definedName name="_1000A01">#N/A</definedName>
    <definedName name="_10THAØNH_TIEÀN">#REF!</definedName>
    <definedName name="_11TRÒ_GIAÙ">#REF!</definedName>
    <definedName name="_12TRÒ_GIAÙ__VAT">#REF!</definedName>
    <definedName name="_2" localSheetId="40">#REF!</definedName>
    <definedName name="_2">#REF!</definedName>
    <definedName name="_3MAÕ_HAØNG">#REF!</definedName>
    <definedName name="_4MAÕ_SOÁ_THUEÁ">#REF!</definedName>
    <definedName name="_5ÑÔN_GIAÙ">#REF!</definedName>
    <definedName name="_6SOÁ_CTÖØ">#REF!</definedName>
    <definedName name="_7SOÁ_LÖÔÏNG">#REF!</definedName>
    <definedName name="_8TEÂN_HAØNG">#REF!</definedName>
    <definedName name="_9TEÂN_KHAÙCH_HAØ">#REF!</definedName>
    <definedName name="_a1" localSheetId="47" hidden="1">{"'Sheet1'!$L$16"}</definedName>
    <definedName name="_a1" localSheetId="45" hidden="1">{"'Sheet1'!$L$16"}</definedName>
    <definedName name="_a1" localSheetId="2" hidden="1">{"'Sheet1'!$L$16"}</definedName>
    <definedName name="_a1" hidden="1">{"'Sheet1'!$L$16"}</definedName>
    <definedName name="_adt1">#REF!</definedName>
    <definedName name="_adt2">#REF!</definedName>
    <definedName name="_atn1">#REF!</definedName>
    <definedName name="_atn10">#REF!</definedName>
    <definedName name="_atn2">#REF!</definedName>
    <definedName name="_atn3">#REF!</definedName>
    <definedName name="_atn4">#REF!</definedName>
    <definedName name="_atn5">#REF!</definedName>
    <definedName name="_atn6">#REF!</definedName>
    <definedName name="_atn7">#REF!</definedName>
    <definedName name="_atn8">#REF!</definedName>
    <definedName name="_atn9">#REF!</definedName>
    <definedName name="_b1" localSheetId="38">{"Thuxm2.xls","Sheet1"}</definedName>
    <definedName name="_b1" localSheetId="2">{"Thuxm2.xls","Sheet1"}</definedName>
    <definedName name="_b1">{"Thuxm2.xls","Sheet1"}</definedName>
    <definedName name="_bc80105">#REF!</definedName>
    <definedName name="_bc80204">#REF!</definedName>
    <definedName name="_bc80205">#REF!</definedName>
    <definedName name="_bc80704">#REF!</definedName>
    <definedName name="_bc80705">#REF!</definedName>
    <definedName name="_bc80905">#REF!</definedName>
    <definedName name="_bn80105">#REF!</definedName>
    <definedName name="_bn80204">#REF!</definedName>
    <definedName name="_bn80205">#REF!</definedName>
    <definedName name="_bn80704">#REF!</definedName>
    <definedName name="_bn80705">#REF!</definedName>
    <definedName name="_bn80904">#REF!</definedName>
    <definedName name="_bn80905">#REF!</definedName>
    <definedName name="_boi1">#REF!</definedName>
    <definedName name="_boi2">#REF!</definedName>
    <definedName name="_btm10">#REF!</definedName>
    <definedName name="_BTM150">#REF!</definedName>
    <definedName name="_BTM200">#REF!</definedName>
    <definedName name="_BTM250">#REF!</definedName>
    <definedName name="_BTM50">#REF!</definedName>
    <definedName name="_C_Lphi_4ab">#REF!</definedName>
    <definedName name="_cao1">#REF!</definedName>
    <definedName name="_cao2">#REF!</definedName>
    <definedName name="_cao3">#REF!</definedName>
    <definedName name="_cao4">#REF!</definedName>
    <definedName name="_cao5">#REF!</definedName>
    <definedName name="_cao6">#REF!</definedName>
    <definedName name="_Cau2">#REF!</definedName>
    <definedName name="_CON1" localSheetId="40">#REF!</definedName>
    <definedName name="_CON1">#REF!</definedName>
    <definedName name="_CON2" localSheetId="40">#REF!</definedName>
    <definedName name="_CON2">#REF!</definedName>
    <definedName name="_Count">4</definedName>
    <definedName name="_cpd1">#REF!</definedName>
    <definedName name="_cpd2">#REF!</definedName>
    <definedName name="_CPhi_Bhiem">#REF!</definedName>
    <definedName name="_CPhi_BQLDA">#REF!</definedName>
    <definedName name="_CPhi_DBaoGT">#REF!</definedName>
    <definedName name="_CPhi_Kdinh">#REF!</definedName>
    <definedName name="_CPhi_Nthu_KThanh">#REF!</definedName>
    <definedName name="_CPhi_QToan">#REF!</definedName>
    <definedName name="_CPhiTKe_13">#REF!</definedName>
    <definedName name="_d2">#REF!</definedName>
    <definedName name="_dai1">#REF!</definedName>
    <definedName name="_dai2">#REF!</definedName>
    <definedName name="_dai3">#REF!</definedName>
    <definedName name="_dai4">#REF!</definedName>
    <definedName name="_dai5">#REF!</definedName>
    <definedName name="_dai6">#REF!</definedName>
    <definedName name="_dam16">#REF!</definedName>
    <definedName name="_dam4">#REF!</definedName>
    <definedName name="_dan1">#REF!</definedName>
    <definedName name="_dan116">#REF!</definedName>
    <definedName name="_dan14">#REF!</definedName>
    <definedName name="_dan2">#REF!</definedName>
    <definedName name="_ddn400" localSheetId="40">#REF!</definedName>
    <definedName name="_ddn400">#REF!</definedName>
    <definedName name="_ddn600" localSheetId="40">#REF!</definedName>
    <definedName name="_ddn600">#REF!</definedName>
    <definedName name="_deo1">#REF!</definedName>
    <definedName name="_deo10">#REF!</definedName>
    <definedName name="_deo2">#REF!</definedName>
    <definedName name="_deo3">#REF!</definedName>
    <definedName name="_deo4">#REF!</definedName>
    <definedName name="_deo5">#REF!</definedName>
    <definedName name="_deo6">#REF!</definedName>
    <definedName name="_deo7">#REF!</definedName>
    <definedName name="_deo8">#REF!</definedName>
    <definedName name="_deo9">#REF!</definedName>
    <definedName name="_dt1" localSheetId="38" hidden="1">{"'Sheet1'!$L$16"}</definedName>
    <definedName name="_dt1" localSheetId="2" hidden="1">{"'Sheet1'!$L$16"}</definedName>
    <definedName name="_dt1" hidden="1">{"'Sheet1'!$L$16"}</definedName>
    <definedName name="_E99999">#REF!</definedName>
    <definedName name="_f5" localSheetId="2" hidden="1">{"'Sheet1'!$L$16"}</definedName>
    <definedName name="_f5" hidden="1">{"'Sheet1'!$L$16"}</definedName>
    <definedName name="_Fill" hidden="1">#REF!</definedName>
    <definedName name="_xlnm._FilterDatabase" localSheetId="39" hidden="1">BS!$A$9:$O$135</definedName>
    <definedName name="_xlnm._FilterDatabase" localSheetId="5" hidden="1">BTDC!$A$7:$N$18</definedName>
    <definedName name="_xlnm._FilterDatabase" localSheetId="44" hidden="1">'Note 8_TSCD'!#REF!</definedName>
    <definedName name="_xlnm._FilterDatabase" localSheetId="2" hidden="1">TGTSCD!$A$6:$R$76</definedName>
    <definedName name="_xlnm._FilterDatabase" localSheetId="6" hidden="1">'TH DC'!$A$5:$G$105</definedName>
    <definedName name="_xlnm._FilterDatabase" hidden="1">#REF!</definedName>
    <definedName name="_gon4">#REF!</definedName>
    <definedName name="_hom2">#REF!</definedName>
    <definedName name="_huy1" localSheetId="38" hidden="1">{"'Sheet1'!$L$16"}</definedName>
    <definedName name="_huy1" localSheetId="2" hidden="1">{"'Sheet1'!$L$16"}</definedName>
    <definedName name="_huy1" hidden="1">{"'Sheet1'!$L$16"}</definedName>
    <definedName name="_Key1" hidden="1">#REF!</definedName>
    <definedName name="_Key2" hidden="1">#REF!</definedName>
    <definedName name="_khu7">#REF!</definedName>
    <definedName name="_kl1">#REF!</definedName>
    <definedName name="_Km36">#REF!</definedName>
    <definedName name="_Knc36">#REF!</definedName>
    <definedName name="_Knc57">#REF!</definedName>
    <definedName name="_Kvl36">#REF!</definedName>
    <definedName name="_Lan1" localSheetId="40" hidden="1">{"'Sheet1'!$L$16"}</definedName>
    <definedName name="_Lan1" localSheetId="47">{"Thuxm2.xls","Sheet1"}</definedName>
    <definedName name="_Lan1" localSheetId="45">{"Thuxm2.xls","Sheet1"}</definedName>
    <definedName name="_Lan1" localSheetId="2">{"Thuxm2.xls","Sheet1"}</definedName>
    <definedName name="_Lan1">{"Thuxm2.xls","Sheet1"}</definedName>
    <definedName name="_lap1">#REF!</definedName>
    <definedName name="_lap2">#REF!</definedName>
    <definedName name="_MAC12" localSheetId="40">#REF!</definedName>
    <definedName name="_MAC12">#REF!</definedName>
    <definedName name="_MAC46" localSheetId="40">#REF!</definedName>
    <definedName name="_MAC46">#REF!</definedName>
    <definedName name="_MB1">#REF!</definedName>
    <definedName name="_MB2">#REF!</definedName>
    <definedName name="_MN1">#REF!</definedName>
    <definedName name="_MN2">#REF!</definedName>
    <definedName name="_MT1">#REF!</definedName>
    <definedName name="_MT2">#REF!</definedName>
    <definedName name="_nc151">#REF!</definedName>
    <definedName name="_NCL100" localSheetId="40">#REF!</definedName>
    <definedName name="_NCL100">#REF!</definedName>
    <definedName name="_NCL200" localSheetId="40">#REF!</definedName>
    <definedName name="_NCL200">#REF!</definedName>
    <definedName name="_NCL250" localSheetId="40">#REF!</definedName>
    <definedName name="_NCL250">#REF!</definedName>
    <definedName name="_ncm200">#REF!</definedName>
    <definedName name="_NET2">#REF!</definedName>
    <definedName name="_nin190" localSheetId="40">#REF!</definedName>
    <definedName name="_nin190">#REF!</definedName>
    <definedName name="_NSO2" localSheetId="2" hidden="1">{"'Sheet1'!$L$16"}</definedName>
    <definedName name="_NSO2" hidden="1">{"'Sheet1'!$L$16"}</definedName>
    <definedName name="_Order1" hidden="1">255</definedName>
    <definedName name="_Order2" hidden="1">255</definedName>
    <definedName name="_pc80105">#REF!</definedName>
    <definedName name="_pc80205">#REF!</definedName>
    <definedName name="_pc80704">#REF!</definedName>
    <definedName name="_pc80705">#REF!</definedName>
    <definedName name="_pc80905">#REF!</definedName>
    <definedName name="_phi10">#REF!</definedName>
    <definedName name="_phi12">#REF!</definedName>
    <definedName name="_phi14">#REF!</definedName>
    <definedName name="_phi16">#REF!</definedName>
    <definedName name="_phi18">#REF!</definedName>
    <definedName name="_phi20">#REF!</definedName>
    <definedName name="_phi22">#REF!</definedName>
    <definedName name="_phi25">#REF!</definedName>
    <definedName name="_phi28">#REF!</definedName>
    <definedName name="_phi6">#REF!</definedName>
    <definedName name="_phi8">#REF!</definedName>
    <definedName name="_pn80105">#REF!</definedName>
    <definedName name="_pn80205">#REF!</definedName>
    <definedName name="_pn80704">#REF!</definedName>
    <definedName name="_pn80705">#REF!</definedName>
    <definedName name="_pn80905">#REF!</definedName>
    <definedName name="_san16">#REF!</definedName>
    <definedName name="_san4">#REF!</definedName>
    <definedName name="_sat10">#REF!</definedName>
    <definedName name="_sat12">#REF!</definedName>
    <definedName name="_sat14">#REF!</definedName>
    <definedName name="_sat16">#REF!</definedName>
    <definedName name="_sat20">#REF!</definedName>
    <definedName name="_Sat27" localSheetId="40">#REF!</definedName>
    <definedName name="_Sat6" localSheetId="40">#REF!</definedName>
    <definedName name="_sat8">#REF!</definedName>
    <definedName name="_sc1" localSheetId="40">#REF!</definedName>
    <definedName name="_sc1">#REF!</definedName>
    <definedName name="_SC2" localSheetId="40">#REF!</definedName>
    <definedName name="_SC2">#REF!</definedName>
    <definedName name="_sc3" localSheetId="40">#REF!</definedName>
    <definedName name="_sc3">#REF!</definedName>
    <definedName name="_slg1">#REF!</definedName>
    <definedName name="_slg2">#REF!</definedName>
    <definedName name="_slg3">#REF!</definedName>
    <definedName name="_slg4">#REF!</definedName>
    <definedName name="_slg5">#REF!</definedName>
    <definedName name="_slg6">#REF!</definedName>
    <definedName name="_SN3" localSheetId="40">#REF!</definedName>
    <definedName name="_SN3">#REF!</definedName>
    <definedName name="_Sort" hidden="1">#REF!</definedName>
    <definedName name="_st80105">#REF!</definedName>
    <definedName name="_st80204">#REF!</definedName>
    <definedName name="_st80205">#REF!</definedName>
    <definedName name="_st80704">#REF!</definedName>
    <definedName name="_st80705">#REF!</definedName>
    <definedName name="_st80905">#REF!</definedName>
    <definedName name="_STD0898">#REF!</definedName>
    <definedName name="_sua20">#REF!</definedName>
    <definedName name="_sua30">#REF!</definedName>
    <definedName name="_t1" localSheetId="38">{"Thuxm2.xls","Sheet1"}</definedName>
    <definedName name="_t1" localSheetId="2">{"Thuxm2.xls","Sheet1"}</definedName>
    <definedName name="_t1">{"Thuxm2.xls","Sheet1"}</definedName>
    <definedName name="_T2" localSheetId="38" hidden="1">{"'Sheet1'!$L$16"}</definedName>
    <definedName name="_T2" localSheetId="2" hidden="1">{"'Sheet1'!$L$16"}</definedName>
    <definedName name="_T2" hidden="1">{"'Sheet1'!$L$16"}</definedName>
    <definedName name="_tb06">#REF!</definedName>
    <definedName name="_tct5">#REF!</definedName>
    <definedName name="_tg427">#REF!</definedName>
    <definedName name="_TH20">#REF!</definedName>
    <definedName name="_TK155">#REF!</definedName>
    <definedName name="_TK422">#REF!</definedName>
    <definedName name="_TL1" localSheetId="40">#REF!</definedName>
    <definedName name="_TL1">#REF!</definedName>
    <definedName name="_TL2" localSheetId="40">#REF!</definedName>
    <definedName name="_TL2">#REF!</definedName>
    <definedName name="_TL3" localSheetId="40">#REF!</definedName>
    <definedName name="_TL3">#REF!</definedName>
    <definedName name="_TLA120" localSheetId="40">#REF!</definedName>
    <definedName name="_TLA120">#REF!</definedName>
    <definedName name="_TLA35" localSheetId="40">#REF!</definedName>
    <definedName name="_TLA35">#REF!</definedName>
    <definedName name="_TLA50" localSheetId="40">#REF!</definedName>
    <definedName name="_TLA50">#REF!</definedName>
    <definedName name="_TLA70" localSheetId="40">#REF!</definedName>
    <definedName name="_TLA70">#REF!</definedName>
    <definedName name="_TLA95" localSheetId="40">#REF!</definedName>
    <definedName name="_TLA95">#REF!</definedName>
    <definedName name="_tt3" localSheetId="40" hidden="1">{"'Sheet1'!$L$16"}</definedName>
    <definedName name="_tt3" localSheetId="47" hidden="1">{"'Sheet1'!$L$16"}</definedName>
    <definedName name="_tt3" localSheetId="45" hidden="1">{"'Sheet1'!$L$16"}</definedName>
    <definedName name="_tt3" localSheetId="2" hidden="1">{"'Sheet1'!$L$16"}</definedName>
    <definedName name="_tt3" hidden="1">{"'Sheet1'!$L$16"}</definedName>
    <definedName name="_tz593" localSheetId="40">#REF!</definedName>
    <definedName name="_tz593">#REF!</definedName>
    <definedName name="_UT2">#REF!</definedName>
    <definedName name="_VL100" localSheetId="40">#REF!</definedName>
    <definedName name="_VL100">#REF!</definedName>
    <definedName name="_VL150">#REF!</definedName>
    <definedName name="_VL200" localSheetId="40">#REF!</definedName>
    <definedName name="_VL200">#REF!</definedName>
    <definedName name="_VL250" localSheetId="40">#REF!</definedName>
    <definedName name="_VL250">#REF!</definedName>
    <definedName name="_VL50">#REF!</definedName>
    <definedName name="_XL140">#REF!</definedName>
    <definedName name="_xl150">#REF!</definedName>
    <definedName name="_xx3">#REF!</definedName>
    <definedName name="_xx4">#REF!</definedName>
    <definedName name="_xx5">#REF!</definedName>
    <definedName name="_xx6">#REF!</definedName>
    <definedName name="_xx7">#REF!</definedName>
    <definedName name="A" localSheetId="40">#REF!</definedName>
    <definedName name="A">#REF!</definedName>
    <definedName name="a.">#REF!</definedName>
    <definedName name="a.1">#REF!</definedName>
    <definedName name="a.10">#REF!</definedName>
    <definedName name="a.12">#REF!</definedName>
    <definedName name="a.13">#REF!</definedName>
    <definedName name="a.2">#REF!</definedName>
    <definedName name="a.3">#REF!</definedName>
    <definedName name="a.4">#REF!</definedName>
    <definedName name="a.5">#REF!</definedName>
    <definedName name="a.6">#REF!</definedName>
    <definedName name="a.7">#REF!</definedName>
    <definedName name="a.8">#REF!</definedName>
    <definedName name="a.9">#REF!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1">#REF!</definedName>
    <definedName name="A120_" localSheetId="40">#REF!</definedName>
    <definedName name="A120_">#REF!</definedName>
    <definedName name="A1Xc7">#REF!</definedName>
    <definedName name="a277Print_Titles" localSheetId="40">#REF!</definedName>
    <definedName name="a277Print_Titles">#REF!</definedName>
    <definedName name="A35_" localSheetId="40">#REF!</definedName>
    <definedName name="A35_">#REF!</definedName>
    <definedName name="A50_" localSheetId="40">#REF!</definedName>
    <definedName name="A50_">#REF!</definedName>
    <definedName name="A70_" localSheetId="40">#REF!</definedName>
    <definedName name="A70_">#REF!</definedName>
    <definedName name="A95_" localSheetId="40">#REF!</definedName>
    <definedName name="A95_">#REF!</definedName>
    <definedName name="AA" localSheetId="40">#REF!</definedName>
    <definedName name="AA">#REF!</definedName>
    <definedName name="aAAA">#REF!</definedName>
    <definedName name="AC120_" localSheetId="40">#REF!</definedName>
    <definedName name="AC120_">#REF!</definedName>
    <definedName name="AC35_" localSheetId="40">#REF!</definedName>
    <definedName name="AC35_">#REF!</definedName>
    <definedName name="AC50_" localSheetId="40">#REF!</definedName>
    <definedName name="AC50_">#REF!</definedName>
    <definedName name="AC70_" localSheetId="40">#REF!</definedName>
    <definedName name="AC70_">#REF!</definedName>
    <definedName name="AC95_" localSheetId="40">#REF!</definedName>
    <definedName name="AC95_">#REF!</definedName>
    <definedName name="AG">#REF!</definedName>
    <definedName name="AG_Temp">#REF!</definedName>
    <definedName name="ag15F80" localSheetId="40">#REF!</definedName>
    <definedName name="ag15F80">#REF!</definedName>
    <definedName name="All_Item" localSheetId="40">#REF!</definedName>
    <definedName name="All_Item">#REF!</definedName>
    <definedName name="ALPIN">#N/A</definedName>
    <definedName name="ALPJYOU">#N/A</definedName>
    <definedName name="ALPTOI">#N/A</definedName>
    <definedName name="anpha">#REF!</definedName>
    <definedName name="Antoan" localSheetId="47" hidden="1">{"'Sheet1'!$L$16"}</definedName>
    <definedName name="Antoan" localSheetId="45" hidden="1">{"'Sheet1'!$L$16"}</definedName>
    <definedName name="Antoan" localSheetId="2" hidden="1">{"'Sheet1'!$L$16"}</definedName>
    <definedName name="Antoan" hidden="1">{"'Sheet1'!$L$16"}</definedName>
    <definedName name="AppRoad">#REF!</definedName>
    <definedName name="ARA_Threshold">#REF!</definedName>
    <definedName name="Area">#REF!</definedName>
    <definedName name="ARP_Threshold">#REF!</definedName>
    <definedName name="AS2DocOpenMode" hidden="1">"AS2DocumentEdit"</definedName>
    <definedName name="asd">#REF!</definedName>
    <definedName name="Av">#REF!</definedName>
    <definedName name="b_dd1">#REF!</definedName>
    <definedName name="b_DL">#REF!</definedName>
    <definedName name="b_eh">#REF!</definedName>
    <definedName name="b_eh1">#REF!</definedName>
    <definedName name="b_ev">#REF!</definedName>
    <definedName name="b_ev1">#REF!</definedName>
    <definedName name="b_FR">#REF!</definedName>
    <definedName name="b_fr1">#REF!</definedName>
    <definedName name="b_LL">#REF!</definedName>
    <definedName name="b_ll1">#REF!</definedName>
    <definedName name="b_WL">#REF!</definedName>
    <definedName name="b_WL1">#REF!</definedName>
    <definedName name="b_WS">#REF!</definedName>
    <definedName name="b_ws1">#REF!</definedName>
    <definedName name="B4B1000">#REF!</definedName>
    <definedName name="BacKan">#REF!</definedName>
    <definedName name="ban">#REF!</definedName>
    <definedName name="Bang_cly">#REF!</definedName>
    <definedName name="Bang_CVC">#REF!</definedName>
    <definedName name="bang_gia">#REF!</definedName>
    <definedName name="Bang_travl">#REF!</definedName>
    <definedName name="bangchu">#REF!</definedName>
    <definedName name="BangGiaVL_Q">#REF!</definedName>
    <definedName name="BangMa">#REF!</definedName>
    <definedName name="bangtinh">#REF!</definedName>
    <definedName name="BarData">#REF!</definedName>
    <definedName name="Bay">#REF!</definedName>
    <definedName name="BB" localSheetId="40">#REF!</definedName>
    <definedName name="BB">#REF!</definedName>
    <definedName name="BE100M">#REF!</definedName>
    <definedName name="BE50M">#REF!</definedName>
    <definedName name="bengam">#REF!</definedName>
    <definedName name="benuoc">#REF!</definedName>
    <definedName name="benuoc16">#REF!</definedName>
    <definedName name="benuoc4">#REF!</definedName>
    <definedName name="beta">#REF!</definedName>
    <definedName name="BeXa">#REF!</definedName>
    <definedName name="bia">#REF!</definedName>
    <definedName name="blang">#REF!</definedName>
    <definedName name="BLOCK1">#REF!</definedName>
    <definedName name="BLOCK2">#REF!</definedName>
    <definedName name="BLOCK3">#REF!</definedName>
    <definedName name="blong">#REF!</definedName>
    <definedName name="Bon">#REF!</definedName>
    <definedName name="Book2">#REF!</definedName>
    <definedName name="BookName">"Bao_cao_cua_NVTK_tai_NPP_bieu_mau_moi_4___Mau_moi.xls"</definedName>
    <definedName name="BOQ" localSheetId="40">#REF!</definedName>
    <definedName name="BOQ">#REF!</definedName>
    <definedName name="Botanical2">#REF!</definedName>
    <definedName name="Botanical2.Jun">#REF!</definedName>
    <definedName name="BP">#REF!</definedName>
    <definedName name="BR_373">#REF!</definedName>
    <definedName name="BrName">#REF!</definedName>
    <definedName name="bson">#REF!</definedName>
    <definedName name="bt">#REF!</definedName>
    <definedName name="btchiuaxitm300">#REF!</definedName>
    <definedName name="BTchiuaxm200">#REF!</definedName>
    <definedName name="btcocM400">#REF!</definedName>
    <definedName name="BTlotm100">#REF!</definedName>
    <definedName name="Bulongthepcoctiepdia">#REF!</definedName>
    <definedName name="buoc" localSheetId="40">#REF!</definedName>
    <definedName name="Bust">#N/A</definedName>
    <definedName name="BVCISUMMARY" localSheetId="40">#REF!</definedName>
    <definedName name="BVCISUMMARY">#REF!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_" localSheetId="40">#REF!</definedName>
    <definedName name="c_">#REF!</definedName>
    <definedName name="C2.7">#REF!</definedName>
    <definedName name="C3.0">#REF!</definedName>
    <definedName name="C3.5">#REF!</definedName>
    <definedName name="C3.7">#REF!</definedName>
    <definedName name="C4.0">#REF!</definedName>
    <definedName name="c5.">#REF!</definedName>
    <definedName name="Cã_TK">#REF!</definedName>
    <definedName name="Cachdienchuoi">#REF!</definedName>
    <definedName name="Cachdiendung">#REF!</definedName>
    <definedName name="Cachdienhaap">#REF!</definedName>
    <definedName name="cao">#REF!</definedName>
    <definedName name="cap">#REF!</definedName>
    <definedName name="cap0.7">#REF!</definedName>
    <definedName name="CAT">#REF!</definedName>
    <definedName name="Category_All" localSheetId="40">#REF!</definedName>
    <definedName name="Category_All">#REF!</definedName>
    <definedName name="CATIN">#N/A</definedName>
    <definedName name="CATJYOU">#N/A</definedName>
    <definedName name="CATREC">#N/A</definedName>
    <definedName name="CATSYU">#N/A</definedName>
    <definedName name="cau">#REF!</definedName>
    <definedName name="Cau_1">#REF!</definedName>
    <definedName name="cau_nho">#REF!</definedName>
    <definedName name="Cau_tam">#REF!</definedName>
    <definedName name="CBE50M">#REF!</definedName>
    <definedName name="CC" localSheetId="40">#REF!</definedName>
    <definedName name="CC">#REF!</definedName>
    <definedName name="CCS" localSheetId="40">#REF!</definedName>
    <definedName name="CCS">#REF!</definedName>
    <definedName name="CDA">#REF!</definedName>
    <definedName name="CDD" localSheetId="40">#REF!</definedName>
    <definedName name="CDD">#REF!</definedName>
    <definedName name="cdn">#REF!</definedName>
    <definedName name="Cdnum">#REF!</definedName>
    <definedName name="Céng">#REF!</definedName>
    <definedName name="cfk">#REF!</definedName>
    <definedName name="CH" localSheetId="40">#REF!</definedName>
    <definedName name="Ch_rong">#REF!</definedName>
    <definedName name="chay1">#REF!</definedName>
    <definedName name="chay10">#REF!</definedName>
    <definedName name="chay2">#REF!</definedName>
    <definedName name="chay3">#REF!</definedName>
    <definedName name="chay4">#REF!</definedName>
    <definedName name="chay5">#REF!</definedName>
    <definedName name="chay6">#REF!</definedName>
    <definedName name="chay7">#REF!</definedName>
    <definedName name="chay8">#REF!</definedName>
    <definedName name="chay9">#REF!</definedName>
    <definedName name="ChDai">#REF!</definedName>
    <definedName name="chenhlech">#REF!</definedName>
    <definedName name="Chin">#REF!</definedName>
    <definedName name="ChiPhiKhac">#REF!</definedName>
    <definedName name="Chupdaucapcongotnong">#REF!</definedName>
    <definedName name="chuyen" localSheetId="38" hidden="1">{"'Sheet1'!$L$16"}</definedName>
    <definedName name="chuyen" localSheetId="2" hidden="1">{"'Sheet1'!$L$16"}</definedName>
    <definedName name="chuyen" hidden="1">{"'Sheet1'!$L$16"}</definedName>
    <definedName name="CK" localSheetId="40">#REF!</definedName>
    <definedName name="CK">#REF!</definedName>
    <definedName name="CLECT">#REF!</definedName>
    <definedName name="CLIEOS">#REF!</definedName>
    <definedName name="CLVC3">0.1</definedName>
    <definedName name="CLVCTB" localSheetId="40">#REF!</definedName>
    <definedName name="CLVCTB">#REF!</definedName>
    <definedName name="CLVL" localSheetId="40">#REF!</definedName>
    <definedName name="CLVL">#REF!</definedName>
    <definedName name="CNC">#REF!</definedName>
    <definedName name="CND">#REF!</definedName>
    <definedName name="CNG">#REF!</definedName>
    <definedName name="Co">#REF!</definedName>
    <definedName name="coc">#REF!</definedName>
    <definedName name="Cocbetong">#REF!</definedName>
    <definedName name="cocbtct">#REF!</definedName>
    <definedName name="cocot">#REF!</definedName>
    <definedName name="cocott">#REF!</definedName>
    <definedName name="CODE">#REF!</definedName>
    <definedName name="CODE1">#REF!</definedName>
    <definedName name="CODE2">#REF!</definedName>
    <definedName name="CODE3">#REF!</definedName>
    <definedName name="Cöï_ly_vaän_chuyeãn" localSheetId="40">#REF!</definedName>
    <definedName name="Cöï_ly_vaän_chuyeãn">#REF!</definedName>
    <definedName name="CÖÏ_LY_VAÄN_CHUYEÅN" localSheetId="40">#REF!</definedName>
    <definedName name="CÖÏ_LY_VAÄN_CHUYEÅN">#REF!</definedName>
    <definedName name="CoKhi">#REF!</definedName>
    <definedName name="COMMON">#REF!</definedName>
    <definedName name="comong">#REF!</definedName>
    <definedName name="Comp">#REF!</definedName>
    <definedName name="CON_EQP_COS">#REF!</definedName>
    <definedName name="CON_EQP_COST" localSheetId="40">#REF!</definedName>
    <definedName name="CON_EQP_COST">#REF!</definedName>
    <definedName name="Cong_HM_DTCT">#REF!</definedName>
    <definedName name="Cong_M_DTCT">#REF!</definedName>
    <definedName name="Cong_NC_DTCT">#REF!</definedName>
    <definedName name="Cong_VL_DTCT">#REF!</definedName>
    <definedName name="congbengam">#REF!</definedName>
    <definedName name="congbenuoc">#REF!</definedName>
    <definedName name="congbenuoc16">#REF!</definedName>
    <definedName name="congbenuoc4">#REF!</definedName>
    <definedName name="congcoc">#REF!</definedName>
    <definedName name="congcocot">#REF!</definedName>
    <definedName name="congcocott">#REF!</definedName>
    <definedName name="congcomong">#REF!</definedName>
    <definedName name="congcottron">#REF!</definedName>
    <definedName name="congcottron16">#REF!</definedName>
    <definedName name="congcottron4">#REF!</definedName>
    <definedName name="congcotvuong">#REF!</definedName>
    <definedName name="congcotvuong16">#REF!</definedName>
    <definedName name="congcotvuong4">#REF!</definedName>
    <definedName name="congdam">#REF!</definedName>
    <definedName name="congdam16">#REF!</definedName>
    <definedName name="congdam4">#REF!</definedName>
    <definedName name="congdamds">#REF!</definedName>
    <definedName name="congdan1">#REF!</definedName>
    <definedName name="congdan116">#REF!</definedName>
    <definedName name="congdan14">#REF!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san16">#REF!</definedName>
    <definedName name="congsan4">#REF!</definedName>
    <definedName name="congthang">#REF!</definedName>
    <definedName name="congthang16">#REF!</definedName>
    <definedName name="congthang4">#REF!</definedName>
    <definedName name="congthangxo">#REF!</definedName>
    <definedName name="congthangxo16">#REF!</definedName>
    <definedName name="congthangxo4">#REF!</definedName>
    <definedName name="congtuong">#REF!</definedName>
    <definedName name="congtuong16">#REF!</definedName>
    <definedName name="congtuong4">#REF!</definedName>
    <definedName name="CongVattu" localSheetId="40">#REF!</definedName>
    <definedName name="CongVattu">#REF!</definedName>
    <definedName name="CongXaQuaDe">#REF!</definedName>
    <definedName name="CONST_EQ" localSheetId="40">#REF!</definedName>
    <definedName name="CONST_EQ">#REF!</definedName>
    <definedName name="Continue">#N/A</definedName>
    <definedName name="coppha">#REF!</definedName>
    <definedName name="Cot12b">#REF!</definedName>
    <definedName name="cot7.5">#REF!</definedName>
    <definedName name="cot8.5">#REF!</definedName>
    <definedName name="CotBTtronVuong">#REF!</definedName>
    <definedName name="cotcuoi">#REF!</definedName>
    <definedName name="cottron">#REF!</definedName>
    <definedName name="cottron16">#REF!</definedName>
    <definedName name="cottron4">#REF!</definedName>
    <definedName name="cotvuong">#REF!</definedName>
    <definedName name="cotvuong16">#REF!</definedName>
    <definedName name="cotvuong4">#REF!</definedName>
    <definedName name="Coù__4">#REF!</definedName>
    <definedName name="COVER" localSheetId="40">#REF!</definedName>
    <definedName name="COVER">#REF!</definedName>
    <definedName name="CPC" localSheetId="40">#REF!</definedName>
    <definedName name="CPC">#REF!</definedName>
    <definedName name="cpdd1">#REF!</definedName>
    <definedName name="CPHA">#REF!</definedName>
    <definedName name="CPK">#REF!</definedName>
    <definedName name="CPTB">#REF!</definedName>
    <definedName name="CPVC100" localSheetId="40">#REF!</definedName>
    <definedName name="CPVC100">#REF!</definedName>
    <definedName name="CRD" localSheetId="40">#REF!</definedName>
    <definedName name="CRD">#REF!</definedName>
    <definedName name="CRITINST" localSheetId="40">#REF!</definedName>
    <definedName name="CRITINST">#REF!</definedName>
    <definedName name="CRITPURC" localSheetId="40">#REF!</definedName>
    <definedName name="CRITPURC">#REF!</definedName>
    <definedName name="CRS" localSheetId="40">#REF!</definedName>
    <definedName name="CRS">#REF!</definedName>
    <definedName name="CS" localSheetId="40">#REF!</definedName>
    <definedName name="CS">#REF!</definedName>
    <definedName name="CS_10" localSheetId="40">#REF!</definedName>
    <definedName name="CS_10">#REF!</definedName>
    <definedName name="CS_100" localSheetId="40">#REF!</definedName>
    <definedName name="CS_100">#REF!</definedName>
    <definedName name="CS_10S" localSheetId="40">#REF!</definedName>
    <definedName name="CS_10S">#REF!</definedName>
    <definedName name="CS_120" localSheetId="40">#REF!</definedName>
    <definedName name="CS_120">#REF!</definedName>
    <definedName name="CS_140" localSheetId="40">#REF!</definedName>
    <definedName name="CS_140">#REF!</definedName>
    <definedName name="CS_160" localSheetId="40">#REF!</definedName>
    <definedName name="CS_160">#REF!</definedName>
    <definedName name="CS_20" localSheetId="40">#REF!</definedName>
    <definedName name="CS_20">#REF!</definedName>
    <definedName name="CS_30" localSheetId="40">#REF!</definedName>
    <definedName name="CS_30">#REF!</definedName>
    <definedName name="CS_40" localSheetId="40">#REF!</definedName>
    <definedName name="CS_40">#REF!</definedName>
    <definedName name="CS_40S" localSheetId="40">#REF!</definedName>
    <definedName name="CS_40S">#REF!</definedName>
    <definedName name="CS_5S" localSheetId="40">#REF!</definedName>
    <definedName name="CS_5S">#REF!</definedName>
    <definedName name="CS_60" localSheetId="40">#REF!</definedName>
    <definedName name="CS_60">#REF!</definedName>
    <definedName name="CS_80" localSheetId="40">#REF!</definedName>
    <definedName name="CS_80">#REF!</definedName>
    <definedName name="CS_80S" localSheetId="40">#REF!</definedName>
    <definedName name="CS_80S">#REF!</definedName>
    <definedName name="CS_STD" localSheetId="40">#REF!</definedName>
    <definedName name="CS_STD">#REF!</definedName>
    <definedName name="CS_XS" localSheetId="40">#REF!</definedName>
    <definedName name="CS_XS">#REF!</definedName>
    <definedName name="CS_XXS" localSheetId="40">#REF!</definedName>
    <definedName name="CS_XXS">#REF!</definedName>
    <definedName name="csd3p" localSheetId="40">#REF!</definedName>
    <definedName name="csd3p">#REF!</definedName>
    <definedName name="csddg1p" localSheetId="40">#REF!</definedName>
    <definedName name="csddg1p">#REF!</definedName>
    <definedName name="csddt1p" localSheetId="40">#REF!</definedName>
    <definedName name="csddt1p">#REF!</definedName>
    <definedName name="csht3p" localSheetId="40">#REF!</definedName>
    <definedName name="csht3p">#REF!</definedName>
    <definedName name="CSMBA">#REF!</definedName>
    <definedName name="ctdn9697">#REF!</definedName>
    <definedName name="CTDZ">#REF!</definedName>
    <definedName name="CTHT">#REF!</definedName>
    <definedName name="ctiep">#REF!</definedName>
    <definedName name="ctmai">#REF!</definedName>
    <definedName name="cto">#REF!</definedName>
    <definedName name="ctong">#REF!</definedName>
    <definedName name="ctre">#REF!</definedName>
    <definedName name="CU_LY">#REF!</definedName>
    <definedName name="cui">#REF!</definedName>
    <definedName name="CuLy">#REF!</definedName>
    <definedName name="CuLy_Q">#REF!</definedName>
    <definedName name="cuoc_vc">#REF!</definedName>
    <definedName name="CuocVC">#REF!</definedName>
    <definedName name="CURRENCY" localSheetId="40">#REF!</definedName>
    <definedName name="CURRENCY">#REF!</definedName>
    <definedName name="CVC_Q">#REF!</definedName>
    <definedName name="CX" localSheetId="40">#REF!</definedName>
    <definedName name="CX">#REF!</definedName>
    <definedName name="CY_Marketable_Sec">#REF!</definedName>
    <definedName name="D_7101A_B" localSheetId="40">#REF!</definedName>
    <definedName name="D_7101A_B">#REF!</definedName>
    <definedName name="d1_">#REF!</definedName>
    <definedName name="D1Z">#REF!</definedName>
    <definedName name="d2_">#REF!</definedName>
    <definedName name="d3_">#REF!</definedName>
    <definedName name="D4Z">#REF!</definedName>
    <definedName name="DA">#REF!</definedName>
    <definedName name="da4x7">#REF!</definedName>
    <definedName name="Dalan">#REF!</definedName>
    <definedName name="DALANPASTE">#REF!</definedName>
    <definedName name="dam">#REF!</definedName>
    <definedName name="damds">#REF!</definedName>
    <definedName name="danducsan">#REF!</definedName>
    <definedName name="dapdbm1">#REF!</definedName>
    <definedName name="dapdbm2">#REF!</definedName>
    <definedName name="Dat">#REF!</definedName>
    <definedName name="data">#REF!</definedName>
    <definedName name="DATA_DATA2_List">#REF!</definedName>
    <definedName name="Data11">#REF!</definedName>
    <definedName name="data2">#REF!</definedName>
    <definedName name="Data41">#REF!</definedName>
    <definedName name="_xlnm.Database" localSheetId="40">#REF!</definedName>
    <definedName name="_xlnm.Database">#REF!</definedName>
    <definedName name="datak">#REF!</definedName>
    <definedName name="datal">#REF!</definedName>
    <definedName name="DATDAO" localSheetId="40">#REF!</definedName>
    <definedName name="DATDAO">#REF!</definedName>
    <definedName name="Date">#REF!</definedName>
    <definedName name="Dattt">#REF!</definedName>
    <definedName name="Datvv">#REF!</definedName>
    <definedName name="Daucapcongotnong">#REF!</definedName>
    <definedName name="Daucaplapdattrongvangoainha">#REF!</definedName>
    <definedName name="DaucotdongcuaUc">#REF!</definedName>
    <definedName name="Daucotdongnhom">#REF!</definedName>
    <definedName name="daunoi">#REF!</definedName>
    <definedName name="Daunoinhomdong">#REF!</definedName>
    <definedName name="dayAE35">#REF!</definedName>
    <definedName name="dayAE50">#REF!</definedName>
    <definedName name="dayAE70">#REF!</definedName>
    <definedName name="dayAE95">#REF!</definedName>
    <definedName name="DayCEV">#REF!</definedName>
    <definedName name="dche">#REF!</definedName>
    <definedName name="DD" localSheetId="40">#REF!</definedName>
    <definedName name="dd4x6">#REF!</definedName>
    <definedName name="ddabm">#REF!</definedName>
    <definedName name="dday">#REF!</definedName>
    <definedName name="ddbm500">#REF!</definedName>
    <definedName name="ddd" localSheetId="38" hidden="1">{"'Sheet1'!$L$16"}</definedName>
    <definedName name="ddd" localSheetId="2" hidden="1">{"'Sheet1'!$L$16"}</definedName>
    <definedName name="ddd" hidden="1">{"'Sheet1'!$L$16"}</definedName>
    <definedName name="dden">#REF!</definedName>
    <definedName name="ddia">#REF!</definedName>
    <definedName name="de">#REF!</definedName>
    <definedName name="den_bu">#REF!</definedName>
    <definedName name="denbu">#REF!</definedName>
    <definedName name="Det32x3">#REF!</definedName>
    <definedName name="Det35x3">#REF!</definedName>
    <definedName name="Det40x4">#REF!</definedName>
    <definedName name="Det50x5">#REF!</definedName>
    <definedName name="Det63x6">#REF!</definedName>
    <definedName name="Det75x6">#REF!</definedName>
    <definedName name="Detour">#REF!</definedName>
    <definedName name="df">#REF!</definedName>
    <definedName name="DG">#REF!</definedName>
    <definedName name="DG1M3BETONG">#REF!</definedName>
    <definedName name="dgbdII">#REF!</definedName>
    <definedName name="DGCTI592">#REF!</definedName>
    <definedName name="DGia">#REF!</definedName>
    <definedName name="dgnc" localSheetId="40">#REF!</definedName>
    <definedName name="dgnc">#REF!</definedName>
    <definedName name="dgqndn">#REF!</definedName>
    <definedName name="dgvl" localSheetId="40">#REF!</definedName>
    <definedName name="dgvl">#REF!</definedName>
    <definedName name="dhom">#REF!</definedName>
    <definedName name="dien">#REF!</definedName>
    <definedName name="DienCaoThe">#REF!</definedName>
    <definedName name="DienHaThe">#REF!</definedName>
    <definedName name="dientichck">#REF!</definedName>
    <definedName name="dim">#REF!</definedName>
    <definedName name="dinh">#REF!</definedName>
    <definedName name="dinh2">#REF!</definedName>
    <definedName name="Dinhmuc">#REF!</definedName>
    <definedName name="DiÔn_gi_i">#REF!</definedName>
    <definedName name="dkcotn">#REF!</definedName>
    <definedName name="dkcots">#REF!</definedName>
    <definedName name="dknotn">#REF!</definedName>
    <definedName name="dknots">#REF!</definedName>
    <definedName name="DM">#REF!</definedName>
    <definedName name="dm56bxd">#REF!</definedName>
    <definedName name="dmat">#REF!</definedName>
    <definedName name="dmbn20">#REF!</definedName>
    <definedName name="dmbth">#REF!</definedName>
    <definedName name="dmdv">#REF!</definedName>
    <definedName name="DMHH">#REF!</definedName>
    <definedName name="DMlapdatxa">#REF!</definedName>
    <definedName name="dmoi">#REF!</definedName>
    <definedName name="DÑt45x4">#REF!</definedName>
    <definedName name="Do_tim">#REF!</definedName>
    <definedName name="doan1">#REF!</definedName>
    <definedName name="doan2">#REF!</definedName>
    <definedName name="doan3">#REF!</definedName>
    <definedName name="doan4">#REF!</definedName>
    <definedName name="doan5">#REF!</definedName>
    <definedName name="doan6">#REF!</definedName>
    <definedName name="dobt">#REF!</definedName>
    <definedName name="Document_array" localSheetId="38">{"Thuxm2.xls","Sheet1"}</definedName>
    <definedName name="Document_array" localSheetId="40">{"Thuxm2.xls","Sheet1"}</definedName>
    <definedName name="Document_array" localSheetId="42">{"Thuxm2.xls","Sheet1"}</definedName>
    <definedName name="Document_array" localSheetId="47">{"Thuxm2.xls","Sheet1"}</definedName>
    <definedName name="Document_array" localSheetId="45">{"Thuxm2.xls","Sheet1"}</definedName>
    <definedName name="Document_array" localSheetId="2">{"Thuxm2.xls","Sheet1"}</definedName>
    <definedName name="Document_array" localSheetId="6">{"Thuxm2.xls","Sheet1"}</definedName>
    <definedName name="Document_array">{"Thuxm2.xls","Sheet1"}</definedName>
    <definedName name="Documents_array" localSheetId="40">#REF!</definedName>
    <definedName name="Documents_array">#N/A</definedName>
    <definedName name="dongia" localSheetId="40">#REF!</definedName>
    <definedName name="dongia">#REF!</definedName>
    <definedName name="DongiaPA1">#REF!</definedName>
    <definedName name="DongiaPA2">#REF!</definedName>
    <definedName name="dongiavanchuyen">#REF!</definedName>
    <definedName name="DR" localSheetId="38">{"Thuxm2.xls","Sheet1"}</definedName>
    <definedName name="DR" localSheetId="2">{"Thuxm2.xls","Sheet1"}</definedName>
    <definedName name="DR">{"Thuxm2.xls","Sheet1"}</definedName>
    <definedName name="drda">#REF!</definedName>
    <definedName name="drdat">#REF!</definedName>
    <definedName name="DS_2">#REF!</definedName>
    <definedName name="DS_305">#REF!</definedName>
    <definedName name="DS_381">#REF!</definedName>
    <definedName name="ds1pnc" localSheetId="40">#REF!</definedName>
    <definedName name="ds1pnc">#REF!</definedName>
    <definedName name="ds1pvl" localSheetId="40">#REF!</definedName>
    <definedName name="ds1pvl">#REF!</definedName>
    <definedName name="ds3pnc" localSheetId="40">#REF!</definedName>
    <definedName name="ds3pnc">#REF!</definedName>
    <definedName name="ds3pvl" localSheetId="40">#REF!</definedName>
    <definedName name="ds3pvl">#REF!</definedName>
    <definedName name="dskhu">#REF!</definedName>
    <definedName name="dsm">#REF!</definedName>
    <definedName name="DSTinh">#REF!</definedName>
    <definedName name="DSUMDATA" localSheetId="40">#REF!</definedName>
    <definedName name="DSUMDATA">#REF!</definedName>
    <definedName name="DT_VKHNN">#REF!</definedName>
    <definedName name="DTBH">#REF!</definedName>
    <definedName name="DTCTANG_BD">#REF!</definedName>
    <definedName name="DTCTANG_HT_BD">#REF!</definedName>
    <definedName name="DTCTANG_HT_KT">#REF!</definedName>
    <definedName name="DTCTANG_KT">#REF!</definedName>
    <definedName name="dtdt">#REF!</definedName>
    <definedName name="dtich1">#REF!</definedName>
    <definedName name="dtich2">#REF!</definedName>
    <definedName name="dtich3">#REF!</definedName>
    <definedName name="dtich4">#REF!</definedName>
    <definedName name="dtich5">#REF!</definedName>
    <definedName name="dtich6">#REF!</definedName>
    <definedName name="DUDAUCO">#REF!</definedName>
    <definedName name="DUDAUNO">#REF!</definedName>
    <definedName name="duong">#REF!</definedName>
    <definedName name="Duong_373">#REF!</definedName>
    <definedName name="Duong_tam">#REF!</definedName>
    <definedName name="DutoanDongmo">#REF!</definedName>
    <definedName name="dvql">#REF!</definedName>
    <definedName name="dxd">#REF!</definedName>
    <definedName name="end">#REF!</definedName>
    <definedName name="End_1" localSheetId="40">#REF!</definedName>
    <definedName name="End_1">#REF!</definedName>
    <definedName name="End_10" localSheetId="40">#REF!</definedName>
    <definedName name="End_10">#REF!</definedName>
    <definedName name="End_11" localSheetId="40">#REF!</definedName>
    <definedName name="End_11">#REF!</definedName>
    <definedName name="End_12" localSheetId="40">#REF!</definedName>
    <definedName name="End_12">#REF!</definedName>
    <definedName name="End_13" localSheetId="40">#REF!</definedName>
    <definedName name="End_13">#REF!</definedName>
    <definedName name="End_2" localSheetId="40">#REF!</definedName>
    <definedName name="End_2">#REF!</definedName>
    <definedName name="End_3" localSheetId="40">#REF!</definedName>
    <definedName name="End_3">#REF!</definedName>
    <definedName name="End_4" localSheetId="40">#REF!</definedName>
    <definedName name="End_4">#REF!</definedName>
    <definedName name="End_5" localSheetId="40">#REF!</definedName>
    <definedName name="End_5">#REF!</definedName>
    <definedName name="End_6" localSheetId="40">#REF!</definedName>
    <definedName name="End_6">#REF!</definedName>
    <definedName name="End_7" localSheetId="40">#REF!</definedName>
    <definedName name="End_7">#REF!</definedName>
    <definedName name="End_8" localSheetId="40">#REF!</definedName>
    <definedName name="End_8">#REF!</definedName>
    <definedName name="End_9" localSheetId="40">#REF!</definedName>
    <definedName name="End_9">#REF!</definedName>
    <definedName name="ex">#REF!</definedName>
    <definedName name="Ex_L">#REF!</definedName>
    <definedName name="EX_Length_373">#REF!</definedName>
    <definedName name="_xlnm.Extract">#REF!</definedName>
    <definedName name="ey">#REF!</definedName>
    <definedName name="f" localSheetId="40">#REF!</definedName>
    <definedName name="f92F56" localSheetId="40">#REF!</definedName>
    <definedName name="f92F56">#REF!</definedName>
    <definedName name="FACTOR" localSheetId="40">#REF!</definedName>
    <definedName name="FACTOR">#REF!</definedName>
    <definedName name="Fax">#REF!</definedName>
    <definedName name="Fay">#REF!</definedName>
    <definedName name="FC5_total">#REF!</definedName>
    <definedName name="FC6_total">#REF!</definedName>
    <definedName name="Fg">#REF!</definedName>
    <definedName name="Fi">#REF!</definedName>
    <definedName name="FlexZZ">#REF!</definedName>
    <definedName name="fs" localSheetId="40">#REF!</definedName>
    <definedName name="fuji">#REF!</definedName>
    <definedName name="fv">#REF!</definedName>
    <definedName name="g" localSheetId="38" hidden="1">{"'Sheet1'!$L$16"}</definedName>
    <definedName name="g">#REF!</definedName>
    <definedName name="G_ME">#REF!</definedName>
    <definedName name="Gachxay75">#REF!</definedName>
    <definedName name="GaicapbocCuXLPEPVCPVCloaiCEVV18den35kV">#REF!</definedName>
    <definedName name="gas">#REF!</definedName>
    <definedName name="gc" localSheetId="38" hidden="1">{"'Sheet1'!$L$16"}</definedName>
    <definedName name="gchi">#REF!</definedName>
    <definedName name="GCS">#REF!</definedName>
    <definedName name="gd">#REF!</definedName>
    <definedName name="gd.">#REF!</definedName>
    <definedName name="GD_1">#REF!</definedName>
    <definedName name="GD_2">#REF!</definedName>
    <definedName name="GDTD">#REF!</definedName>
    <definedName name="ghip">#REF!</definedName>
    <definedName name="gia_tien">#REF!</definedName>
    <definedName name="gia_tien_BTN">#REF!</definedName>
    <definedName name="GiacapAvanxoanLVABCXLPE">#REF!</definedName>
    <definedName name="GiacapbocCuXLPEPVCDSTAPVCloaiCEVVST">#REF!</definedName>
    <definedName name="GiacapbocCuXLPEPVCDSTPVCloaiCEVVST12den24kV">#REF!</definedName>
    <definedName name="GiacapbocCuXLPEPVCDSTPVCloaiCEVVST18den35kV">#REF!</definedName>
    <definedName name="GiacapbocCuXLPEPVCloaiCEV">#REF!</definedName>
    <definedName name="GiacapbocCuXLPEPVCloaiCEV12den24kV">#REF!</definedName>
    <definedName name="GiacapbocCuXLPEPVCloaiCEV18den35kV">#REF!</definedName>
    <definedName name="GiacapbocCuXLPEPVCPVCloaiCEVV12den24kV">#REF!</definedName>
    <definedName name="GiacapbocCuXLPEPVCSWPVCloaiCEVVSW12den24kV">#REF!</definedName>
    <definedName name="GiacapbocCuXLPEPVCSWPVCloaiCEVVSW18den35kV">#REF!</definedName>
    <definedName name="GiadayACbocPVC">#REF!</definedName>
    <definedName name="GiadayAS">#REF!</definedName>
    <definedName name="GiadayAtran">#REF!</definedName>
    <definedName name="GiadayAV">#REF!</definedName>
    <definedName name="GiadayAXLPE1kVlkyhieuAE">#REF!</definedName>
    <definedName name="GiadaycapCEV">#REF!</definedName>
    <definedName name="GiadaycapCuPVC600V">#REF!</definedName>
    <definedName name="GiadayCVV">#REF!</definedName>
    <definedName name="GiadayMtran">#REF!</definedName>
    <definedName name="Giai_doan">#REF!</definedName>
    <definedName name="Giasatthep">#REF!</definedName>
    <definedName name="giathau">#REF!</definedName>
    <definedName name="Giavatlieukhac">#REF!</definedName>
    <definedName name="Giocong">#REF!</definedName>
    <definedName name="gl3p" localSheetId="40">#REF!</definedName>
    <definedName name="gl3p">#REF!</definedName>
    <definedName name="gld">#REF!</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P">#REF!</definedName>
    <definedName name="GRFICM">#REF!</definedName>
    <definedName name="gtc">#REF!</definedName>
    <definedName name="GTDTCTANG_HT_NC_BD">#REF!</definedName>
    <definedName name="GTDTCTANG_HT_NC_KT">#REF!</definedName>
    <definedName name="GTDTCTANG_HT_VL_BD">#REF!</definedName>
    <definedName name="GTDTCTANG_HT_VL_KT">#REF!</definedName>
    <definedName name="GTDTCTANG_NC_BD">#REF!</definedName>
    <definedName name="GTDTCTANG_NC_KT">#REF!</definedName>
    <definedName name="GTDTCTANG_VL_BD">#REF!</definedName>
    <definedName name="GTDTCTANG_VL_KT">#REF!</definedName>
    <definedName name="Gthe">#REF!</definedName>
    <definedName name="GTRI">#REF!</definedName>
    <definedName name="GTXL">#REF!</definedName>
    <definedName name="gxm">#REF!</definedName>
    <definedName name="h" localSheetId="38" hidden="1">{"'Sheet1'!$L$16"}</definedName>
    <definedName name="h" localSheetId="40" hidden="1">{"'Sheet1'!$L$16"}</definedName>
    <definedName name="h" localSheetId="42" hidden="1">{"'Sheet1'!$L$16"}</definedName>
    <definedName name="h" localSheetId="47" hidden="1">{"'Sheet1'!$L$16"}</definedName>
    <definedName name="h" localSheetId="44" hidden="1">{"'Sheet1'!$L$16"}</definedName>
    <definedName name="h" localSheetId="45" hidden="1">{"'Sheet1'!$L$16"}</definedName>
    <definedName name="h" localSheetId="2" hidden="1">{"'Sheet1'!$L$16"}</definedName>
    <definedName name="h" localSheetId="6" hidden="1">{"'Sheet1'!$L$16"}</definedName>
    <definedName name="h" hidden="1">{"'Sheet1'!$L$16"}</definedName>
    <definedName name="ha.">#REF!</definedName>
    <definedName name="hangmuc">#REF!</definedName>
    <definedName name="hb.">#REF!</definedName>
    <definedName name="hc.">#REF!</definedName>
    <definedName name="HCM">#REF!</definedName>
    <definedName name="Heä_soá_laép_xaø_H">1.7</definedName>
    <definedName name="heä_soá_sình_laày" localSheetId="40">#REF!</definedName>
    <definedName name="heä_soá_sình_laày">#REF!</definedName>
    <definedName name="Hello">#N/A</definedName>
    <definedName name="hg">#REF!</definedName>
    <definedName name="HH">#REF!</definedName>
    <definedName name="HHcat">#REF!</definedName>
    <definedName name="HHda">#REF!</definedName>
    <definedName name="hhhh">#REF!</definedName>
    <definedName name="hien">#REF!</definedName>
    <definedName name="Hiep" localSheetId="47">{"Thuxm2.xls","Sheet1"}</definedName>
    <definedName name="Hiep" localSheetId="45">{"Thuxm2.xls","Sheet1"}</definedName>
    <definedName name="Hiep" localSheetId="2">{"Thuxm2.xls","Sheet1"}</definedName>
    <definedName name="Hiep">{"Thuxm2.xls","Sheet1"}</definedName>
    <definedName name="hjjkl" localSheetId="2" hidden="1">{"'Sheet1'!$L$16"}</definedName>
    <definedName name="hjjkl" hidden="1">{"'Sheet1'!$L$16"}</definedName>
    <definedName name="HM">#REF!</definedName>
    <definedName name="ho">#REF!</definedName>
    <definedName name="HOME_MANP">#REF!</definedName>
    <definedName name="HOMEOFFICE_COST">#REF!</definedName>
    <definedName name="Hopnoicap">#REF!</definedName>
    <definedName name="Hoten">#REF!</definedName>
    <definedName name="House">#REF!</definedName>
    <definedName name="HSCT3">0.1</definedName>
    <definedName name="hsdc">#REF!</definedName>
    <definedName name="hsdc1" localSheetId="40">#REF!</definedName>
    <definedName name="hsdc1">#REF!</definedName>
    <definedName name="HSDN">2.5</definedName>
    <definedName name="HSHH" localSheetId="40">#REF!</definedName>
    <definedName name="HSHH">#REF!</definedName>
    <definedName name="HSHHUT" localSheetId="40">#REF!</definedName>
    <definedName name="HSHHUT">#REF!</definedName>
    <definedName name="hsk">#REF!</definedName>
    <definedName name="HSSL" localSheetId="40">#REF!</definedName>
    <definedName name="HSSL">#REF!</definedName>
    <definedName name="hßm4">#REF!</definedName>
    <definedName name="HSVC1" localSheetId="40">#REF!</definedName>
    <definedName name="HSVC1">#REF!</definedName>
    <definedName name="HSVC2" localSheetId="40">#REF!</definedName>
    <definedName name="HSVC2">#REF!</definedName>
    <definedName name="HSVC3" localSheetId="40">#REF!</definedName>
    <definedName name="HSVC3">#REF!</definedName>
    <definedName name="Ht">#REF!</definedName>
    <definedName name="HTML_CodePage" hidden="1">950</definedName>
    <definedName name="HTML_Control" localSheetId="38" hidden="1">{"'Sheet1'!$L$16"}</definedName>
    <definedName name="HTML_Control" localSheetId="40" hidden="1">{"'Sheet1'!$L$16"}</definedName>
    <definedName name="HTML_Control" localSheetId="42" hidden="1">{"'Sheet1'!$L$16"}</definedName>
    <definedName name="HTML_Control" localSheetId="47" hidden="1">{"'Sheet1'!$L$16"}</definedName>
    <definedName name="HTML_Control" localSheetId="44" hidden="1">{"'Sheet1'!$L$16"}</definedName>
    <definedName name="HTML_Control" localSheetId="45" hidden="1">{"'Sheet1'!$L$16"}</definedName>
    <definedName name="HTML_Control" localSheetId="2" hidden="1">{"'Sheet1'!$L$16"}</definedName>
    <definedName name="HTML_Control" localSheetId="6"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 localSheetId="40">#REF!</definedName>
    <definedName name="HTNC">#REF!</definedName>
    <definedName name="HTVL" localSheetId="40">#REF!</definedName>
    <definedName name="HTVL">#REF!</definedName>
    <definedName name="huy" localSheetId="38" hidden="1">{"'Sheet1'!$L$16"}</definedName>
    <definedName name="huy" localSheetId="40" hidden="1">{"'Sheet1'!$L$16"}</definedName>
    <definedName name="huy" localSheetId="42" hidden="1">{"'Sheet1'!$L$16"}</definedName>
    <definedName name="huy" localSheetId="47" hidden="1">{"'Sheet1'!$L$16"}</definedName>
    <definedName name="huy" localSheetId="44" hidden="1">{"'Sheet1'!$L$16"}</definedName>
    <definedName name="huy" localSheetId="45" hidden="1">{"'Sheet1'!$L$16"}</definedName>
    <definedName name="huy" localSheetId="2" hidden="1">{"'Sheet1'!$L$16"}</definedName>
    <definedName name="huy" localSheetId="6" hidden="1">{"'Sheet1'!$L$16"}</definedName>
    <definedName name="huy" hidden="1">{"'Sheet1'!$L$16"}</definedName>
    <definedName name="I" localSheetId="40">#REF!</definedName>
    <definedName name="iCount">3</definedName>
    <definedName name="IDLAB_COST">#REF!</definedName>
    <definedName name="IND_LAB" localSheetId="40">#REF!</definedName>
    <definedName name="IND_LAB">#REF!</definedName>
    <definedName name="index">#REF!</definedName>
    <definedName name="INDMANP">#REF!</definedName>
    <definedName name="Inthu">#REF!</definedName>
    <definedName name="Inthu1">#REF!</definedName>
    <definedName name="Ip">#REF!</definedName>
    <definedName name="ixy">#REF!</definedName>
    <definedName name="j" localSheetId="40">#REF!</definedName>
    <definedName name="j">#REF!</definedName>
    <definedName name="J.O">#REF!</definedName>
    <definedName name="J.O_GT">#REF!</definedName>
    <definedName name="j356C8">#REF!</definedName>
    <definedName name="JPYVND1">#REF!</definedName>
    <definedName name="k" localSheetId="40">#REF!</definedName>
    <definedName name="k">#REF!</definedName>
    <definedName name="k..">#REF!</definedName>
    <definedName name="KA">#REF!</definedName>
    <definedName name="ka.">#REF!</definedName>
    <definedName name="KAE">#REF!</definedName>
    <definedName name="kcong">#REF!</definedName>
    <definedName name="KDC">#REF!</definedName>
    <definedName name="kdien">#REF!</definedName>
    <definedName name="KE_HOACH_VON_PHU_THU">#REF!</definedName>
    <definedName name="KenhDan">#REF!</definedName>
    <definedName name="KenhTuoi">#REF!</definedName>
    <definedName name="Kepcapcacloai">#REF!</definedName>
    <definedName name="KgBM">#REF!</definedName>
    <definedName name="Kgcot">#REF!</definedName>
    <definedName name="KgCTd4">#REF!</definedName>
    <definedName name="KgCTt4">#REF!</definedName>
    <definedName name="Kgdamd4">#REF!</definedName>
    <definedName name="Kgdamt4">#REF!</definedName>
    <definedName name="Kgmong">#REF!</definedName>
    <definedName name="KgNXOLdk">#REF!</definedName>
    <definedName name="Kgsan">#REF!</definedName>
    <definedName name="Kh">#REF!</definedName>
    <definedName name="Khanhdonnoitrunggiannoidieuchinh">#REF!</definedName>
    <definedName name="khbn20">#REF!</definedName>
    <definedName name="KhuyenmaiUPS">"AutoShape 264"</definedName>
    <definedName name="Kiem_tra_trung_ten">#REF!</definedName>
    <definedName name="kkk">#REF!</definedName>
    <definedName name="kl_ME">#REF!</definedName>
    <definedName name="kldmbth">#REF!</definedName>
    <definedName name="kll">#REF!</definedName>
    <definedName name="KP">#REF!</definedName>
    <definedName name="kp1ph" localSheetId="40">#REF!</definedName>
    <definedName name="kp1ph">#REF!</definedName>
    <definedName name="kq">#REF!</definedName>
    <definedName name="KS">#REF!</definedName>
    <definedName name="KS_1">#REF!</definedName>
    <definedName name="KS_2">#REF!</definedName>
    <definedName name="KVC">#REF!</definedName>
    <definedName name="Ký_nép">#REF!</definedName>
    <definedName name="l" localSheetId="38" hidden="1">{"'Sheet1'!$L$16"}</definedName>
    <definedName name="l" localSheetId="40">#REF!</definedName>
    <definedName name="l_1">#REF!</definedName>
    <definedName name="L_2">#REF!</definedName>
    <definedName name="LAMTUBE">#REF!</definedName>
    <definedName name="lan" localSheetId="38" hidden="1">{"'Sheet1'!$L$16"}</definedName>
    <definedName name="Lan" localSheetId="40">{"Thuxm2.xls","Sheet1"}</definedName>
    <definedName name="Lan" localSheetId="47">{"Thuxm2.xls","Sheet1"}</definedName>
    <definedName name="Lan" localSheetId="45">{"Thuxm2.xls","Sheet1"}</definedName>
    <definedName name="Lan" localSheetId="2">{"Thuxm2.xls","Sheet1"}</definedName>
    <definedName name="Lan">{"Thuxm2.xls","Sheet1"}</definedName>
    <definedName name="Land">#REF!</definedName>
    <definedName name="lanhto">#REF!</definedName>
    <definedName name="LapDungDam">#REF!</definedName>
    <definedName name="Lb">#REF!</definedName>
    <definedName name="LC5_total">#REF!</definedName>
    <definedName name="LC6_total">#REF!</definedName>
    <definedName name="lh">#REF!</definedName>
    <definedName name="list">#REF!</definedName>
    <definedName name="Lmk" localSheetId="40">#REF!</definedName>
    <definedName name="Lmk">#REF!</definedName>
    <definedName name="LN" localSheetId="40">#REF!</definedName>
    <definedName name="LN">#REF!</definedName>
    <definedName name="Lo" localSheetId="40">#REF!</definedName>
    <definedName name="LOAI_DUONG">#REF!</definedName>
    <definedName name="long">#REF!</definedName>
    <definedName name="ltre">#REF!</definedName>
    <definedName name="luuthong">#REF!</definedName>
    <definedName name="lVC">#REF!</definedName>
    <definedName name="m" localSheetId="40">#REF!</definedName>
    <definedName name="M_1">#REF!</definedName>
    <definedName name="M_2">#REF!</definedName>
    <definedName name="M0.4">#REF!</definedName>
    <definedName name="M12ba3p" localSheetId="40">#REF!</definedName>
    <definedName name="M12ba3p">#REF!</definedName>
    <definedName name="M12bb1p" localSheetId="40">#REF!</definedName>
    <definedName name="M12bb1p">#REF!</definedName>
    <definedName name="M12cbnc" localSheetId="40">#REF!</definedName>
    <definedName name="M12cbnc">#REF!</definedName>
    <definedName name="M12cbvl" localSheetId="40">#REF!</definedName>
    <definedName name="M12cbvl">#REF!</definedName>
    <definedName name="M14bb1p" localSheetId="40">#REF!</definedName>
    <definedName name="M14bb1p">#REF!</definedName>
    <definedName name="m8aanc" localSheetId="40">#REF!</definedName>
    <definedName name="m8aanc">#REF!</definedName>
    <definedName name="m8aavl" localSheetId="40">#REF!</definedName>
    <definedName name="m8aavl">#REF!</definedName>
    <definedName name="Ma3pnc" localSheetId="40">#REF!</definedName>
    <definedName name="Ma3pnc">#REF!</definedName>
    <definedName name="Ma3pvl" localSheetId="40">#REF!</definedName>
    <definedName name="Ma3pvl">#REF!</definedName>
    <definedName name="Maa3pnc" localSheetId="40">#REF!</definedName>
    <definedName name="Maa3pnc">#REF!</definedName>
    <definedName name="Maa3pvl" localSheetId="40">#REF!</definedName>
    <definedName name="Maa3pvl">#REF!</definedName>
    <definedName name="MACTANG_BD">#REF!</definedName>
    <definedName name="MACTANG_HT_BD">#REF!</definedName>
    <definedName name="MACTANG_HT_KT">#REF!</definedName>
    <definedName name="MACTANG_KT">#REF!</definedName>
    <definedName name="mahang_k_n">#REF!</definedName>
    <definedName name="mahang_th">#REF!</definedName>
    <definedName name="MAJ_CON_EQP">#REF!</definedName>
    <definedName name="MATK_M" localSheetId="40">#REF!</definedName>
    <definedName name="MATK_M">#REF!</definedName>
    <definedName name="MAY">#REF!</definedName>
    <definedName name="Mba1p" localSheetId="40">#REF!</definedName>
    <definedName name="Mba1p">#REF!</definedName>
    <definedName name="Mba3p" localSheetId="40">#REF!</definedName>
    <definedName name="Mba3p">#REF!</definedName>
    <definedName name="Mbb3p" localSheetId="40">#REF!</definedName>
    <definedName name="Mbb3p">#REF!</definedName>
    <definedName name="mbm" localSheetId="38" hidden="1">{"'Sheet1'!$L$16"}</definedName>
    <definedName name="mbm" localSheetId="2" hidden="1">{"'Sheet1'!$L$16"}</definedName>
    <definedName name="mbm" hidden="1">{"'Sheet1'!$L$16"}</definedName>
    <definedName name="Mbn1p" localSheetId="40">#REF!</definedName>
    <definedName name="Mbn1p">#REF!</definedName>
    <definedName name="mc">#REF!</definedName>
    <definedName name="me">#REF!</definedName>
    <definedName name="Mè_A1">#REF!</definedName>
    <definedName name="Mè_A2">#REF!</definedName>
    <definedName name="MG_A" localSheetId="40">#REF!</definedName>
    <definedName name="MG_A">#REF!</definedName>
    <definedName name="mn">#REF!</definedName>
    <definedName name="MONG">#REF!</definedName>
    <definedName name="mongbang">#REF!</definedName>
    <definedName name="mongdon">#REF!</definedName>
    <definedName name="month">#REF!</definedName>
    <definedName name="Mr">#REF!</definedName>
    <definedName name="ms">#REF!</definedName>
    <definedName name="MTMAC12" localSheetId="40">#REF!</definedName>
    <definedName name="MTMAC12">#REF!</definedName>
    <definedName name="mtram" localSheetId="40">#REF!</definedName>
    <definedName name="mtram">#REF!</definedName>
    <definedName name="mucluong">144000</definedName>
    <definedName name="myle">#REF!</definedName>
    <definedName name="N" localSheetId="38" hidden="1">{"'Sheet1'!$L$16"}</definedName>
    <definedName name="n" localSheetId="40">#REF!</definedName>
    <definedName name="n1pig" localSheetId="40">#REF!</definedName>
    <definedName name="n1pig">#REF!</definedName>
    <definedName name="n1pind" localSheetId="40">#REF!</definedName>
    <definedName name="n1pind">#REF!</definedName>
    <definedName name="n1ping" localSheetId="40">#REF!</definedName>
    <definedName name="n1ping">#REF!</definedName>
    <definedName name="n1pint" localSheetId="40">#REF!</definedName>
    <definedName name="n1pint">#REF!</definedName>
    <definedName name="nam" localSheetId="38" hidden="1">{"'Sheet1'!$L$16"}</definedName>
    <definedName name="Nam">#REF!</definedName>
    <definedName name="Name">#REF!</definedName>
    <definedName name="nc_btm10">#REF!</definedName>
    <definedName name="nc1p" localSheetId="40">#REF!</definedName>
    <definedName name="nc1p">#REF!</definedName>
    <definedName name="nc2.1I">#REF!</definedName>
    <definedName name="nc2.1II">#REF!</definedName>
    <definedName name="nc2.1III">#REF!</definedName>
    <definedName name="nc2.1IV">#REF!</definedName>
    <definedName name="nc2.2I">#REF!</definedName>
    <definedName name="nc2.2II">#REF!</definedName>
    <definedName name="nc2.2III">#REF!</definedName>
    <definedName name="nc2.2IV">#REF!</definedName>
    <definedName name="nc2.3I">#REF!</definedName>
    <definedName name="nc2.3II">#REF!</definedName>
    <definedName name="nc2.3III">#REF!</definedName>
    <definedName name="nc2.3IV">#REF!</definedName>
    <definedName name="nc2.4I">#REF!</definedName>
    <definedName name="nc2.4II">#REF!</definedName>
    <definedName name="nc2.4III">#REF!</definedName>
    <definedName name="nc2.4IV">#REF!</definedName>
    <definedName name="nc2.5I">#REF!</definedName>
    <definedName name="nc2.5II">#REF!</definedName>
    <definedName name="nc2.5III">#REF!</definedName>
    <definedName name="nc2.5IV">#REF!</definedName>
    <definedName name="nc2.6I">#REF!</definedName>
    <definedName name="nc2.6II">#REF!</definedName>
    <definedName name="nc2.6III">#REF!</definedName>
    <definedName name="nc2.6IV">#REF!</definedName>
    <definedName name="nc2.7I">#REF!</definedName>
    <definedName name="nc2.7II">#REF!</definedName>
    <definedName name="nc2.7III">#REF!</definedName>
    <definedName name="nc2.7IV">#REF!</definedName>
    <definedName name="nc2.8I">#REF!</definedName>
    <definedName name="nc2.8II">#REF!</definedName>
    <definedName name="nc2.8III">#REF!</definedName>
    <definedName name="nc2.8IV">#REF!</definedName>
    <definedName name="nc2.9I">#REF!</definedName>
    <definedName name="nc2.9II">#REF!</definedName>
    <definedName name="nc2.9III">#REF!</definedName>
    <definedName name="nc2.9IV">#REF!</definedName>
    <definedName name="nc2I">#REF!</definedName>
    <definedName name="nc2II">#REF!</definedName>
    <definedName name="nc2III">#REF!</definedName>
    <definedName name="nc2IV">#REF!</definedName>
    <definedName name="nc3.1I">#REF!</definedName>
    <definedName name="nc3.1II">#REF!</definedName>
    <definedName name="nc3.1III">#REF!</definedName>
    <definedName name="nc3.1IV">#REF!</definedName>
    <definedName name="nc3.2I">#REF!</definedName>
    <definedName name="nc3.2II">#REF!</definedName>
    <definedName name="nc3.2III">#REF!</definedName>
    <definedName name="nc3.2IV">#REF!</definedName>
    <definedName name="nc3.3I">#REF!</definedName>
    <definedName name="nc3.3II">#REF!</definedName>
    <definedName name="nc3.3III">#REF!</definedName>
    <definedName name="nc3.3IV">#REF!</definedName>
    <definedName name="nc3.4I">#REF!</definedName>
    <definedName name="nc3.4II">#REF!</definedName>
    <definedName name="nc3.4III">#REF!</definedName>
    <definedName name="nc3.4IV">#REF!</definedName>
    <definedName name="nc3.5I">#REF!</definedName>
    <definedName name="nc3.5II">#REF!</definedName>
    <definedName name="nc3.5III">#REF!</definedName>
    <definedName name="nc3.5IV">#REF!</definedName>
    <definedName name="nc3.6I">#REF!</definedName>
    <definedName name="nc3.6II">#REF!</definedName>
    <definedName name="nc3.6III">#REF!</definedName>
    <definedName name="nc3.6IV">#REF!</definedName>
    <definedName name="nc3.7I">#REF!</definedName>
    <definedName name="nc3.7II">#REF!</definedName>
    <definedName name="nc3.7III">#REF!</definedName>
    <definedName name="nc3.7IV">#REF!</definedName>
    <definedName name="nc3.8I">#REF!</definedName>
    <definedName name="nc3.8II">#REF!</definedName>
    <definedName name="nc3.8III">#REF!</definedName>
    <definedName name="nc3.8IV">#REF!</definedName>
    <definedName name="nc3.9I">#REF!</definedName>
    <definedName name="nc3.9II">#REF!</definedName>
    <definedName name="nc3.9III">#REF!</definedName>
    <definedName name="nc3.9IV">#REF!</definedName>
    <definedName name="nc3I">#REF!</definedName>
    <definedName name="nc3II">#REF!</definedName>
    <definedName name="nc3III">#REF!</definedName>
    <definedName name="nc3IV">#REF!</definedName>
    <definedName name="nc3p" localSheetId="40">#REF!</definedName>
    <definedName name="nc3p">#REF!</definedName>
    <definedName name="nc4.1I">#REF!</definedName>
    <definedName name="nc4.1II">#REF!</definedName>
    <definedName name="nc4.1III">#REF!</definedName>
    <definedName name="nc4.1IV">#REF!</definedName>
    <definedName name="nc4.2I">#REF!</definedName>
    <definedName name="nc4.2II">#REF!</definedName>
    <definedName name="nc4.2III">#REF!</definedName>
    <definedName name="nc4.2IV">#REF!</definedName>
    <definedName name="nc4.3I">#REF!</definedName>
    <definedName name="nc4.3II">#REF!</definedName>
    <definedName name="nc4.3III">#REF!</definedName>
    <definedName name="nc4.3IV">#REF!</definedName>
    <definedName name="nc4.4I">#REF!</definedName>
    <definedName name="nc4.4II">#REF!</definedName>
    <definedName name="nc4.4III">#REF!</definedName>
    <definedName name="nc4.4IV">#REF!</definedName>
    <definedName name="nc4.5I">#REF!</definedName>
    <definedName name="nc4.5II">#REF!</definedName>
    <definedName name="nc4.5III">#REF!</definedName>
    <definedName name="nc4.5IV">#REF!</definedName>
    <definedName name="nc4.6I">#REF!</definedName>
    <definedName name="nc4.6II">#REF!</definedName>
    <definedName name="nc4.6III">#REF!</definedName>
    <definedName name="nc4.6IV">#REF!</definedName>
    <definedName name="nc4.7I">#REF!</definedName>
    <definedName name="nc4.7II">#REF!</definedName>
    <definedName name="nc4.7III">#REF!</definedName>
    <definedName name="nc4.7IV">#REF!</definedName>
    <definedName name="nc4.8I">#REF!</definedName>
    <definedName name="nc4.8II">#REF!</definedName>
    <definedName name="nc4.8III">#REF!</definedName>
    <definedName name="nc4.8IV">#REF!</definedName>
    <definedName name="nc4.9I">#REF!</definedName>
    <definedName name="nc4.9II">#REF!</definedName>
    <definedName name="nc4.9III">#REF!</definedName>
    <definedName name="nc4.9IV">#REF!</definedName>
    <definedName name="nc4I">#REF!</definedName>
    <definedName name="nc4II">#REF!</definedName>
    <definedName name="nc4III">#REF!</definedName>
    <definedName name="nc4IV">#REF!</definedName>
    <definedName name="nc5I">#REF!</definedName>
    <definedName name="nc5II">#REF!</definedName>
    <definedName name="nc5III">#REF!</definedName>
    <definedName name="nc5IV">#REF!</definedName>
    <definedName name="NCBD100" localSheetId="40">#REF!</definedName>
    <definedName name="NCBD100">#REF!</definedName>
    <definedName name="NCBD200" localSheetId="40">#REF!</definedName>
    <definedName name="NCBD200">#REF!</definedName>
    <definedName name="NCBD250" localSheetId="40">#REF!</definedName>
    <definedName name="NCBD250">#REF!</definedName>
    <definedName name="NCcap0.7">#REF!</definedName>
    <definedName name="NCcap1">#REF!</definedName>
    <definedName name="ncday35">#REF!</definedName>
    <definedName name="ncday50">#REF!</definedName>
    <definedName name="ncday70">#REF!</definedName>
    <definedName name="ncday95">#REF!</definedName>
    <definedName name="NCKT">#REF!</definedName>
    <definedName name="nctram" localSheetId="40">#REF!</definedName>
    <definedName name="nctram">#REF!</definedName>
    <definedName name="NCVC100" localSheetId="40">#REF!</definedName>
    <definedName name="NCVC100">#REF!</definedName>
    <definedName name="NCVC200" localSheetId="40">#REF!</definedName>
    <definedName name="NCVC200">#REF!</definedName>
    <definedName name="NCVC250" localSheetId="40">#REF!</definedName>
    <definedName name="NCVC250">#REF!</definedName>
    <definedName name="NCVC3P" localSheetId="40">#REF!</definedName>
    <definedName name="NCVC3P">#REF!</definedName>
    <definedName name="NET">#REF!</definedName>
    <definedName name="NET_1">#REF!</definedName>
    <definedName name="NET_ANA">#REF!</definedName>
    <definedName name="NET_ANA_1">#REF!</definedName>
    <definedName name="NET_ANA_2">#REF!</definedName>
    <definedName name="New_L">#REF!</definedName>
    <definedName name="NewPOS">#REF!</definedName>
    <definedName name="Ng">#REF!</definedName>
    <definedName name="Ng_y">#REF!</definedName>
    <definedName name="ngan" localSheetId="2">{"Thuxm2.xls","Sheet1"}</definedName>
    <definedName name="ngan">{"Thuxm2.xls","Sheet1"}</definedName>
    <definedName name="NGAØY">#REF!</definedName>
    <definedName name="ngau">#REF!</definedName>
    <definedName name="Ngay">#REF!</definedName>
    <definedName name="NH">#REF!</definedName>
    <definedName name="Nha">#REF!</definedName>
    <definedName name="nhn" localSheetId="40">#REF!</definedName>
    <definedName name="nhn">#REF!</definedName>
    <definedName name="nhom">#REF!</definedName>
    <definedName name="NHot">#REF!</definedName>
    <definedName name="nhua">#REF!</definedName>
    <definedName name="Nî_TK">#REF!</definedName>
    <definedName name="nig" localSheetId="40">#REF!</definedName>
    <definedName name="nig">#REF!</definedName>
    <definedName name="nig1p" localSheetId="40">#REF!</definedName>
    <definedName name="nig1p">#REF!</definedName>
    <definedName name="nig3p" localSheetId="40">#REF!</definedName>
    <definedName name="nig3p">#REF!</definedName>
    <definedName name="nignc1p" localSheetId="40">#REF!</definedName>
    <definedName name="nignc1p">#REF!</definedName>
    <definedName name="nigvl1p" localSheetId="40">#REF!</definedName>
    <definedName name="nigvl1p">#REF!</definedName>
    <definedName name="nin" localSheetId="40">#REF!</definedName>
    <definedName name="nin">#REF!</definedName>
    <definedName name="nin14nc3p" localSheetId="40">#REF!</definedName>
    <definedName name="nin14nc3p">#REF!</definedName>
    <definedName name="nin14vl3p" localSheetId="40">#REF!</definedName>
    <definedName name="nin14vl3p">#REF!</definedName>
    <definedName name="nin1903p" localSheetId="40">#REF!</definedName>
    <definedName name="nin1903p">#REF!</definedName>
    <definedName name="nin190nc3p" localSheetId="40">#REF!</definedName>
    <definedName name="nin190nc3p">#REF!</definedName>
    <definedName name="nin190vl3p" localSheetId="40">#REF!</definedName>
    <definedName name="nin190vl3p">#REF!</definedName>
    <definedName name="nin2903p" localSheetId="40">#REF!</definedName>
    <definedName name="nin2903p">#REF!</definedName>
    <definedName name="nin290nc3p" localSheetId="40">#REF!</definedName>
    <definedName name="nin290nc3p">#REF!</definedName>
    <definedName name="nin290vl3p" localSheetId="40">#REF!</definedName>
    <definedName name="nin290vl3p">#REF!</definedName>
    <definedName name="nin3p" localSheetId="40">#REF!</definedName>
    <definedName name="nin3p">#REF!</definedName>
    <definedName name="nind" localSheetId="40">#REF!</definedName>
    <definedName name="nind">#REF!</definedName>
    <definedName name="nind1p" localSheetId="40">#REF!</definedName>
    <definedName name="nind1p">#REF!</definedName>
    <definedName name="nind3p" localSheetId="40">#REF!</definedName>
    <definedName name="nind3p">#REF!</definedName>
    <definedName name="nindnc1p" localSheetId="40">#REF!</definedName>
    <definedName name="nindnc1p">#REF!</definedName>
    <definedName name="nindnc3p" localSheetId="40">#REF!</definedName>
    <definedName name="nindnc3p">#REF!</definedName>
    <definedName name="nindvl1p" localSheetId="40">#REF!</definedName>
    <definedName name="nindvl1p">#REF!</definedName>
    <definedName name="nindvl3p" localSheetId="40">#REF!</definedName>
    <definedName name="nindvl3p">#REF!</definedName>
    <definedName name="ning1p" localSheetId="40">#REF!</definedName>
    <definedName name="ning1p">#REF!</definedName>
    <definedName name="ningnc1p" localSheetId="40">#REF!</definedName>
    <definedName name="ningnc1p">#REF!</definedName>
    <definedName name="ningvl1p" localSheetId="40">#REF!</definedName>
    <definedName name="ningvl1p">#REF!</definedName>
    <definedName name="ninnc3p" localSheetId="40">#REF!</definedName>
    <definedName name="ninnc3p">#REF!</definedName>
    <definedName name="nint1p" localSheetId="40">#REF!</definedName>
    <definedName name="nint1p">#REF!</definedName>
    <definedName name="nintnc1p" localSheetId="40">#REF!</definedName>
    <definedName name="nintnc1p">#REF!</definedName>
    <definedName name="nintvl1p" localSheetId="40">#REF!</definedName>
    <definedName name="nintvl1p">#REF!</definedName>
    <definedName name="ninvl3p" localSheetId="40">#REF!</definedName>
    <definedName name="ninvl3p">#REF!</definedName>
    <definedName name="nl" localSheetId="40">#REF!</definedName>
    <definedName name="nl1p" localSheetId="40">#REF!</definedName>
    <definedName name="nl1p">#REF!</definedName>
    <definedName name="nl3p" localSheetId="40">#REF!</definedName>
    <definedName name="nl3p">#REF!</definedName>
    <definedName name="nlnc3p" localSheetId="40">#REF!</definedName>
    <definedName name="nlnc3p">#REF!</definedName>
    <definedName name="nlnc3pha" localSheetId="40">#REF!</definedName>
    <definedName name="nlnc3pha">#REF!</definedName>
    <definedName name="NLTK1p" localSheetId="40">#REF!</definedName>
    <definedName name="NLTK1p">#REF!</definedName>
    <definedName name="nlvl3p" localSheetId="40">#REF!</definedName>
    <definedName name="nlvl3p">#REF!</definedName>
    <definedName name="nn" localSheetId="40">#REF!</definedName>
    <definedName name="nn">#REF!</definedName>
    <definedName name="nn1p" localSheetId="40">#REF!</definedName>
    <definedName name="nn1p">#REF!</definedName>
    <definedName name="nn3p" localSheetId="40">#REF!</definedName>
    <definedName name="nn3p">#REF!</definedName>
    <definedName name="nnn" localSheetId="38" hidden="1">{"'Sheet1'!$L$16"}</definedName>
    <definedName name="nnn" localSheetId="2" hidden="1">{"'Sheet1'!$L$16"}</definedName>
    <definedName name="nnn" hidden="1">{"'Sheet1'!$L$16"}</definedName>
    <definedName name="nnnc3p" localSheetId="40">#REF!</definedName>
    <definedName name="nnnc3p">#REF!</definedName>
    <definedName name="nnvl3p" localSheetId="40">#REF!</definedName>
    <definedName name="nnvl3p">#REF!</definedName>
    <definedName name="No">#REF!</definedName>
    <definedName name="Notes">#REF!</definedName>
    <definedName name="Np">#REF!</definedName>
    <definedName name="NR">#REF!</definedName>
    <definedName name="o" localSheetId="38" hidden="1">{"'Sheet1'!$L$16"}</definedName>
    <definedName name="o">#REF!</definedName>
    <definedName name="o_n_phÝ_1__thu_nhËp_th_ng">#REF!</definedName>
    <definedName name="OLE_LINK1" localSheetId="38">'02-BGD'!#REF!</definedName>
    <definedName name="Ongbaovecap">#REF!</definedName>
    <definedName name="Ongnoiday">#REF!</definedName>
    <definedName name="Ongnoidaybulongtachongrungtabu">#REF!</definedName>
    <definedName name="OngPVC">#REF!</definedName>
    <definedName name="ophom">#REF!</definedName>
    <definedName name="oxy">#REF!</definedName>
    <definedName name="p1_">#REF!</definedName>
    <definedName name="p2_">#REF!</definedName>
    <definedName name="PA">#REF!</definedName>
    <definedName name="PA1_1">#REF!</definedName>
    <definedName name="panen">#REF!</definedName>
    <definedName name="PChe">#REF!</definedName>
    <definedName name="pgia">#REF!</definedName>
    <definedName name="Pheuhopgang">#REF!</definedName>
    <definedName name="phtuyen">#REF!</definedName>
    <definedName name="phu_luc_vua">#REF!</definedName>
    <definedName name="Phukienduongday">#REF!</definedName>
    <definedName name="PK" localSheetId="40">#REF!</definedName>
    <definedName name="PK">#REF!</definedName>
    <definedName name="Position">#REF!</definedName>
    <definedName name="PR">#REF!</definedName>
    <definedName name="PRICE" localSheetId="40">#REF!</definedName>
    <definedName name="PRICE">#REF!</definedName>
    <definedName name="PRICE1" localSheetId="40">#REF!</definedName>
    <definedName name="PRICE1">#REF!</definedName>
    <definedName name="Prin1">#REF!</definedName>
    <definedName name="Prin10">#REF!</definedName>
    <definedName name="Prin11">#REF!</definedName>
    <definedName name="Prin12">#REF!</definedName>
    <definedName name="Prin13">#REF!</definedName>
    <definedName name="Prin14">#REF!</definedName>
    <definedName name="Prin15">#REF!</definedName>
    <definedName name="Prin16">#REF!</definedName>
    <definedName name="Prin17">#REF!</definedName>
    <definedName name="Prin18">#REF!</definedName>
    <definedName name="Prin19">#REF!</definedName>
    <definedName name="Prin2">#REF!</definedName>
    <definedName name="Prin20">#REF!</definedName>
    <definedName name="Prin21">#REF!</definedName>
    <definedName name="Prin3">#REF!</definedName>
    <definedName name="Prin4">#REF!</definedName>
    <definedName name="Prin5">#REF!</definedName>
    <definedName name="Prin6">#REF!</definedName>
    <definedName name="Prin7">#REF!</definedName>
    <definedName name="Prin8">#REF!</definedName>
    <definedName name="Prin9">#REF!</definedName>
    <definedName name="_xlnm.Print_Area" localSheetId="37">'01-Bia'!$A$1:$I$52</definedName>
    <definedName name="_xlnm.Print_Area" localSheetId="39">BS!$A$1:$N$135</definedName>
    <definedName name="_xlnm.Print_Area" localSheetId="5">BTDC!$B$1:$K$44</definedName>
    <definedName name="_xlnm.Print_Area" localSheetId="42">'LCTT&lt;TT&gt;'!$A$1:$I$54</definedName>
    <definedName name="_xlnm.Print_Area" localSheetId="43">'Note 1_7'!$A$1:$J$470</definedName>
    <definedName name="_xlnm.Print_Area" localSheetId="46">'Note 22_NV'!$A$1:$K$27</definedName>
    <definedName name="_xlnm.Print_Area" localSheetId="47">'Note 23_het '!$A$1:$K$281</definedName>
    <definedName name="_xlnm.Print_Area" localSheetId="44">'Note 8_TSCD'!$A$1:$I$48</definedName>
    <definedName name="_xlnm.Print_Area" localSheetId="45">'Note 9_21'!$A$1:$K$517</definedName>
    <definedName name="_xlnm.Print_Area" localSheetId="41">PI!$A$1:$O$44</definedName>
    <definedName name="_xlnm.Print_Area" localSheetId="2">TGTSCD!$A$1:$I$98</definedName>
    <definedName name="_xlnm.Print_Area" localSheetId="6">'TH DC'!$A$1:$F$108</definedName>
    <definedName name="_xlnm.Print_Area">#REF!</definedName>
    <definedName name="PRINT_AREA_MI">#REF!</definedName>
    <definedName name="_xlnm.Print_Titles" localSheetId="37">'01-Bia'!$1:$3</definedName>
    <definedName name="_xlnm.Print_Titles" localSheetId="39">BS!$1:$7</definedName>
    <definedName name="_xlnm.Print_Titles" localSheetId="5">BTDC!$6:$28</definedName>
    <definedName name="_xlnm.Print_Titles" localSheetId="43">'Note 1_7'!$1:$4</definedName>
    <definedName name="_xlnm.Print_Titles" localSheetId="47">'Note 23_het '!$1:$3</definedName>
    <definedName name="_xlnm.Print_Titles" localSheetId="44">'Note 8_TSCD'!$1:$3</definedName>
    <definedName name="_xlnm.Print_Titles" localSheetId="45">'Note 9_21'!$1:$3</definedName>
    <definedName name="_xlnm.Print_Titles" localSheetId="41">PI!$9:$11</definedName>
    <definedName name="_xlnm.Print_Titles" localSheetId="2">TGTSCD!$1:$3</definedName>
    <definedName name="_xlnm.Print_Titles" localSheetId="6">'TH DC'!$1:$6</definedName>
    <definedName name="_xlnm.Print_Titles">#N/A</definedName>
    <definedName name="PRINT_TITLES_MI">#REF!</definedName>
    <definedName name="PRINTA">#REF!</definedName>
    <definedName name="PRINTB">#REF!</definedName>
    <definedName name="PRINTC">#REF!</definedName>
    <definedName name="PROPOSAL" localSheetId="40">#REF!</definedName>
    <definedName name="PROPOSAL">#REF!</definedName>
    <definedName name="Protex">#REF!</definedName>
    <definedName name="Province">#REF!</definedName>
    <definedName name="psco">#REF!</definedName>
    <definedName name="pscotn">#REF!</definedName>
    <definedName name="pscots">#REF!</definedName>
    <definedName name="psno">#REF!</definedName>
    <definedName name="psnotn">#REF!</definedName>
    <definedName name="psnots">#REF!</definedName>
    <definedName name="PST">#REF!</definedName>
    <definedName name="PT_Duong">#REF!</definedName>
    <definedName name="ptdg">#REF!</definedName>
    <definedName name="PTDG_cau">#REF!</definedName>
    <definedName name="ptdg_cong">#REF!</definedName>
    <definedName name="ptdg_duong">#REF!</definedName>
    <definedName name="PY_Marketable_Sec">#REF!</definedName>
    <definedName name="PY2_Administration">#REF!</definedName>
    <definedName name="PY2_Cost_of_Sales">#REF!</definedName>
    <definedName name="PY2_Depreciation">#REF!</definedName>
    <definedName name="PY2_Gross_Profit">#REF!</definedName>
    <definedName name="PY2_Inc_Bef_Tax">#REF!</definedName>
    <definedName name="PY2_Interest_Expense">#REF!</definedName>
    <definedName name="PY2_Marketable_Sec">#REF!</definedName>
    <definedName name="PY2_NET_PROFIT">#REF!</definedName>
    <definedName name="PY2_Net_Revenue">#REF!</definedName>
    <definedName name="PY2_Operating_Inc">#REF!</definedName>
    <definedName name="PY2_Operating_Income">#REF!</definedName>
    <definedName name="PY2_Other_Exp.">#REF!</definedName>
    <definedName name="PY2_Selling">#REF!</definedName>
    <definedName name="PY2_Tangible_Net_Worth">#REF!</definedName>
    <definedName name="PY2_Taxes">#REF!</definedName>
    <definedName name="PY2_Working_Capital">#REF!</definedName>
    <definedName name="QDD">#REF!</definedName>
    <definedName name="qh">#REF!</definedName>
    <definedName name="ql">#REF!</definedName>
    <definedName name="qp">#REF!</definedName>
    <definedName name="qtdm">#REF!</definedName>
    <definedName name="Quanly">#REF!</definedName>
    <definedName name="Quantities">#REF!</definedName>
    <definedName name="qx">#REF!</definedName>
    <definedName name="qy">#REF!</definedName>
    <definedName name="r_">#REF!</definedName>
    <definedName name="ra11p" localSheetId="40">#REF!</definedName>
    <definedName name="ra11p">#REF!</definedName>
    <definedName name="ra13p" localSheetId="40">#REF!</definedName>
    <definedName name="ra13p">#REF!</definedName>
    <definedName name="Ranhxay" localSheetId="47" hidden="1">{"'Sheet1'!$L$16"}</definedName>
    <definedName name="Ranhxay" localSheetId="45" hidden="1">{"'Sheet1'!$L$16"}</definedName>
    <definedName name="Ranhxay" localSheetId="2" hidden="1">{"'Sheet1'!$L$16"}</definedName>
    <definedName name="Ranhxay" hidden="1">{"'Sheet1'!$L$16"}</definedName>
    <definedName name="RECOUT">#N/A</definedName>
    <definedName name="Region">#REF!</definedName>
    <definedName name="RFP003A" localSheetId="40">#REF!</definedName>
    <definedName name="RFP003A">#REF!</definedName>
    <definedName name="RFP003B" localSheetId="40">#REF!</definedName>
    <definedName name="RFP003B">#REF!</definedName>
    <definedName name="RFP003C" localSheetId="40">#REF!</definedName>
    <definedName name="RFP003C">#REF!</definedName>
    <definedName name="RFP003D" localSheetId="40">#REF!</definedName>
    <definedName name="RFP003D">#REF!</definedName>
    <definedName name="RFP003E" localSheetId="40">#REF!</definedName>
    <definedName name="RFP003E">#REF!</definedName>
    <definedName name="RFP003F" localSheetId="40">#REF!</definedName>
    <definedName name="RFP003F">#REF!</definedName>
    <definedName name="River">#REF!</definedName>
    <definedName name="River_Code">#REF!</definedName>
    <definedName name="Road_Code">#REF!</definedName>
    <definedName name="Road_Name">#REF!</definedName>
    <definedName name="RoadNo_373">#REF!</definedName>
    <definedName name="rong1">#REF!</definedName>
    <definedName name="rong2">#REF!</definedName>
    <definedName name="rong3">#REF!</definedName>
    <definedName name="rong4">#REF!</definedName>
    <definedName name="rong5">#REF!</definedName>
    <definedName name="rong6">#REF!</definedName>
    <definedName name="s">#REF!</definedName>
    <definedName name="S_2">#REF!</definedName>
    <definedName name="san">#REF!</definedName>
    <definedName name="Sau">#REF!</definedName>
    <definedName name="SCH" localSheetId="40">#REF!</definedName>
    <definedName name="SCH">#REF!</definedName>
    <definedName name="SCT">#REF!</definedName>
    <definedName name="SDMONG" localSheetId="40">#REF!</definedName>
    <definedName name="SDMONG">#REF!</definedName>
    <definedName name="Sè_tiÒn">#REF!</definedName>
    <definedName name="Sensation">#REF!</definedName>
    <definedName name="Sheet1">#REF!</definedName>
    <definedName name="SheetName">"[Bao_cao_cua_NVTK_tai_NPP_bieu_mau_moi_4___Mau_moi.xls]~         "</definedName>
    <definedName name="sho">#REF!</definedName>
    <definedName name="SIZE" localSheetId="40">#REF!</definedName>
    <definedName name="SIZE">#REF!</definedName>
    <definedName name="SKUcoverage">#REF!</definedName>
    <definedName name="SL_CRD" localSheetId="40">#REF!</definedName>
    <definedName name="SL_CRD">#REF!</definedName>
    <definedName name="SL_CRS" localSheetId="40">#REF!</definedName>
    <definedName name="SL_CRS">#REF!</definedName>
    <definedName name="SL_CS" localSheetId="40">#REF!</definedName>
    <definedName name="SL_CS">#REF!</definedName>
    <definedName name="SL_DD" localSheetId="40">#REF!</definedName>
    <definedName name="SL_DD">#REF!</definedName>
    <definedName name="slg">#REF!</definedName>
    <definedName name="slk">#REF!</definedName>
    <definedName name="sll">#REF!</definedName>
    <definedName name="SMBA">#REF!</definedName>
    <definedName name="soc3p" localSheetId="40">#REF!</definedName>
    <definedName name="soc3p">#REF!</definedName>
    <definedName name="Soi">#REF!</definedName>
    <definedName name="soichon12">#REF!</definedName>
    <definedName name="soichon24">#REF!</definedName>
    <definedName name="soichon46">#REF!</definedName>
    <definedName name="solieu">#REF!</definedName>
    <definedName name="SORT" localSheetId="40">#REF!</definedName>
    <definedName name="SORT">#REF!</definedName>
    <definedName name="Sothutu">#REF!</definedName>
    <definedName name="SPAN">#REF!</definedName>
    <definedName name="SPAN_No">#REF!</definedName>
    <definedName name="SPEC" localSheetId="40">#REF!</definedName>
    <definedName name="SPEC">#REF!</definedName>
    <definedName name="SPECSUMMARY" localSheetId="40">#REF!</definedName>
    <definedName name="SPECSUMMARY">#REF!</definedName>
    <definedName name="SPSCO">#REF!</definedName>
    <definedName name="SPSNO">#REF!</definedName>
    <definedName name="start">#REF!</definedName>
    <definedName name="Start_1" localSheetId="40">#REF!</definedName>
    <definedName name="Start_1">#REF!</definedName>
    <definedName name="Start_10" localSheetId="40">#REF!</definedName>
    <definedName name="Start_10">#REF!</definedName>
    <definedName name="Start_11" localSheetId="40">#REF!</definedName>
    <definedName name="Start_11">#REF!</definedName>
    <definedName name="Start_12" localSheetId="40">#REF!</definedName>
    <definedName name="Start_12">#REF!</definedName>
    <definedName name="Start_13" localSheetId="40">#REF!</definedName>
    <definedName name="Start_13">#REF!</definedName>
    <definedName name="Start_2" localSheetId="40">#REF!</definedName>
    <definedName name="Start_2">#REF!</definedName>
    <definedName name="Start_3" localSheetId="40">#REF!</definedName>
    <definedName name="Start_3">#REF!</definedName>
    <definedName name="Start_4" localSheetId="40">#REF!</definedName>
    <definedName name="Start_4">#REF!</definedName>
    <definedName name="Start_5" localSheetId="40">#REF!</definedName>
    <definedName name="Start_5">#REF!</definedName>
    <definedName name="Start_6" localSheetId="40">#REF!</definedName>
    <definedName name="Start_6">#REF!</definedName>
    <definedName name="Start_7" localSheetId="40">#REF!</definedName>
    <definedName name="Start_7">#REF!</definedName>
    <definedName name="Start_8" localSheetId="40">#REF!</definedName>
    <definedName name="Start_8">#REF!</definedName>
    <definedName name="Start_9" localSheetId="40">#REF!</definedName>
    <definedName name="Start_9">#REF!</definedName>
    <definedName name="STBCPC1">#REF!</definedName>
    <definedName name="STBCPC2">#REF!</definedName>
    <definedName name="STBCPT1">#REF!</definedName>
    <definedName name="STBCPT2">#REF!</definedName>
    <definedName name="STD">#REF!</definedName>
    <definedName name="std.">#REF!</definedName>
    <definedName name="Stt">#REF!</definedName>
    <definedName name="SU">#REF!</definedName>
    <definedName name="SUMITOMO">#REF!</definedName>
    <definedName name="SUMITOMO_GT">#REF!</definedName>
    <definedName name="SUMMARY">#REF!</definedName>
    <definedName name="T" localSheetId="40">#REF!</definedName>
    <definedName name="T.nhËp">#REF!</definedName>
    <definedName name="t101p" localSheetId="40">#REF!</definedName>
    <definedName name="t101p">#REF!</definedName>
    <definedName name="t103p" localSheetId="40">#REF!</definedName>
    <definedName name="t103p">#REF!</definedName>
    <definedName name="t10nc1p" localSheetId="40">#REF!</definedName>
    <definedName name="t10nc1p">#REF!</definedName>
    <definedName name="t10vl1p" localSheetId="40">#REF!</definedName>
    <definedName name="t10vl1p">#REF!</definedName>
    <definedName name="t121p" localSheetId="40">#REF!</definedName>
    <definedName name="t121p">#REF!</definedName>
    <definedName name="t123p" localSheetId="40">#REF!</definedName>
    <definedName name="t123p">#REF!</definedName>
    <definedName name="t141p" localSheetId="40">#REF!</definedName>
    <definedName name="t141p">#REF!</definedName>
    <definedName name="t143p" localSheetId="40">#REF!</definedName>
    <definedName name="t143p">#REF!</definedName>
    <definedName name="t14nc3p" localSheetId="40">#REF!</definedName>
    <definedName name="t14nc3p">#REF!</definedName>
    <definedName name="t14vl3p" localSheetId="40">#REF!</definedName>
    <definedName name="t14vl3p">#REF!</definedName>
    <definedName name="tadao">#REF!</definedName>
    <definedName name="Tai_trong">#REF!</definedName>
    <definedName name="taluydac2">#REF!</definedName>
    <definedName name="taluydc1">#REF!</definedName>
    <definedName name="taluydc2">#REF!</definedName>
    <definedName name="taluydc3">#REF!</definedName>
    <definedName name="taluydc4">#REF!</definedName>
    <definedName name="Tam">#REF!</definedName>
    <definedName name="TamBom">#REF!</definedName>
    <definedName name="TAMTINH">#REF!</definedName>
    <definedName name="TaxTV">10%</definedName>
    <definedName name="TaxXL">5%</definedName>
    <definedName name="TBA">#REF!</definedName>
    <definedName name="tbckco">#REF!</definedName>
    <definedName name="tbckno">#REF!</definedName>
    <definedName name="tbdkco">#REF!</definedName>
    <definedName name="tbdkno">#REF!</definedName>
    <definedName name="TBSGP">#REF!</definedName>
    <definedName name="tbtn">#REF!</definedName>
    <definedName name="tbtram" localSheetId="40">#REF!</definedName>
    <definedName name="tbtram">#REF!</definedName>
    <definedName name="tbts">#REF!</definedName>
    <definedName name="TC" localSheetId="40">#REF!</definedName>
    <definedName name="tc">#REF!</definedName>
    <definedName name="TC_NHANH1" localSheetId="40">#REF!</definedName>
    <definedName name="TC_NHANH1">#REF!</definedName>
    <definedName name="td1p" localSheetId="40">#REF!</definedName>
    <definedName name="td1p">#REF!</definedName>
    <definedName name="td3p" localSheetId="40">#REF!</definedName>
    <definedName name="td3p">#REF!</definedName>
    <definedName name="tdia">#REF!</definedName>
    <definedName name="tdnc1p" localSheetId="40">#REF!</definedName>
    <definedName name="tdnc1p">#REF!</definedName>
    <definedName name="tdo">#REF!</definedName>
    <definedName name="tdt">#REF!</definedName>
    <definedName name="tdtr2cnc" localSheetId="40">#REF!</definedName>
    <definedName name="tdtr2cnc">#REF!</definedName>
    <definedName name="tdtr2cvl" localSheetId="40">#REF!</definedName>
    <definedName name="tdtr2cvl">#REF!</definedName>
    <definedName name="tdvl1p" localSheetId="40">#REF!</definedName>
    <definedName name="tdvl1p">#REF!</definedName>
    <definedName name="temp">#REF!</definedName>
    <definedName name="Temp_Br">#REF!</definedName>
    <definedName name="TEMPBR">#REF!</definedName>
    <definedName name="tenck">#REF!</definedName>
    <definedName name="Tengoi">#REF!</definedName>
    <definedName name="tenvung">#REF!</definedName>
    <definedName name="TGLS">#REF!</definedName>
    <definedName name="TH">#REF!</definedName>
    <definedName name="TH.tinh">#REF!</definedName>
    <definedName name="TH_VKHNN">#REF!</definedName>
    <definedName name="tha" localSheetId="47" hidden="1">{"'Sheet1'!$L$16"}</definedName>
    <definedName name="tha" localSheetId="45" hidden="1">{"'Sheet1'!$L$16"}</definedName>
    <definedName name="tha" localSheetId="2" hidden="1">{"'Sheet1'!$L$16"}</definedName>
    <definedName name="tha" hidden="1">{"'Sheet1'!$L$16"}</definedName>
    <definedName name="thang">#REF!</definedName>
    <definedName name="Thang_Long">#REF!</definedName>
    <definedName name="Thang_Long_GT">#REF!</definedName>
    <definedName name="thang16">#REF!</definedName>
    <definedName name="thang4">#REF!</definedName>
    <definedName name="thangxo">#REF!</definedName>
    <definedName name="thangxo16">#REF!</definedName>
    <definedName name="thangxo4">#REF!</definedName>
    <definedName name="thanh">#REF!</definedName>
    <definedName name="thanhtien" localSheetId="40">#REF!</definedName>
    <definedName name="thanhtien">#REF!</definedName>
    <definedName name="ThaoCauCu">#REF!</definedName>
    <definedName name="Thautinh">#REF!</definedName>
    <definedName name="Þcot">#REF!</definedName>
    <definedName name="ÞCTd4">#REF!</definedName>
    <definedName name="ÞCTt4">#REF!</definedName>
    <definedName name="Þdamd4">#REF!</definedName>
    <definedName name="Þdamt4">#REF!</definedName>
    <definedName name="THDS">#REF!</definedName>
    <definedName name="thdt">#REF!</definedName>
    <definedName name="THDT_HT_DAO_THUONG">#REF!</definedName>
    <definedName name="THDT_HT_XOM_NOI">#REF!</definedName>
    <definedName name="THDT_NPP_XOM_NOI">#REF!</definedName>
    <definedName name="THDT_TBA_XOM_NOI">#REF!</definedName>
    <definedName name="Thep">#REF!</definedName>
    <definedName name="thepban">#REF!</definedName>
    <definedName name="thepck">#REF!</definedName>
    <definedName name="ThepDinh">#REF!</definedName>
    <definedName name="thepgoc25_60">#REF!</definedName>
    <definedName name="thepgoc63_75">#REF!</definedName>
    <definedName name="thepgoc80_100">#REF!</definedName>
    <definedName name="theptron12">#REF!</definedName>
    <definedName name="theptron14_22">#REF!</definedName>
    <definedName name="theptron6_8">#REF!</definedName>
    <definedName name="thetichck">#REF!</definedName>
    <definedName name="THGO1pnc" localSheetId="40">#REF!</definedName>
    <definedName name="THGO1pnc">#REF!</definedName>
    <definedName name="THGT" localSheetId="38" hidden="1">{"'Sheet1'!$L$16"}</definedName>
    <definedName name="THGT" localSheetId="2" hidden="1">{"'Sheet1'!$L$16"}</definedName>
    <definedName name="THGT" hidden="1">{"'Sheet1'!$L$16"}</definedName>
    <definedName name="thht" localSheetId="40">#REF!</definedName>
    <definedName name="thht">#REF!</definedName>
    <definedName name="THI" localSheetId="40">#REF!</definedName>
    <definedName name="THI">#REF!</definedName>
    <definedName name="thkp3" localSheetId="40">#REF!</definedName>
    <definedName name="thkp3">#REF!</definedName>
    <definedName name="Þmong">#REF!</definedName>
    <definedName name="ÞNXoldk">#REF!</definedName>
    <definedName name="Thop">#REF!</definedName>
    <definedName name="THop2">#REF!</definedName>
    <definedName name="thopkd">#REF!</definedName>
    <definedName name="Þsan">#REF!</definedName>
    <definedName name="thtich1">#REF!</definedName>
    <definedName name="thtich2">#REF!</definedName>
    <definedName name="thtich3">#REF!</definedName>
    <definedName name="thtich4">#REF!</definedName>
    <definedName name="thtich5">#REF!</definedName>
    <definedName name="thtich6">#REF!</definedName>
    <definedName name="THToanBo">#REF!</definedName>
    <definedName name="THtoanbo2">#REF!</definedName>
    <definedName name="thtt" localSheetId="40">#REF!</definedName>
    <definedName name="thtt">#REF!</definedName>
    <definedName name="TI">#REF!</definedName>
    <definedName name="Tien">#REF!</definedName>
    <definedName name="TIENLUONG">#REF!</definedName>
    <definedName name="Tim_cong">#REF!</definedName>
    <definedName name="tim_xuat_hien">#REF!</definedName>
    <definedName name="TIT">#REF!</definedName>
    <definedName name="TITAN">#REF!</definedName>
    <definedName name="TK" localSheetId="40">#REF!</definedName>
    <definedName name="TK">#REF!</definedName>
    <definedName name="tkct">#REF!</definedName>
    <definedName name="TKP">#REF!</definedName>
    <definedName name="TLAC120" localSheetId="40">#REF!</definedName>
    <definedName name="TLAC120">#REF!</definedName>
    <definedName name="TLAC35" localSheetId="40">#REF!</definedName>
    <definedName name="TLAC35">#REF!</definedName>
    <definedName name="TLAC50" localSheetId="40">#REF!</definedName>
    <definedName name="TLAC50">#REF!</definedName>
    <definedName name="TLAC70" localSheetId="40">#REF!</definedName>
    <definedName name="TLAC70">#REF!</definedName>
    <definedName name="TLAC95" localSheetId="40">#REF!</definedName>
    <definedName name="TLAC95">#REF!</definedName>
    <definedName name="Tle">#REF!</definedName>
    <definedName name="tluong">#REF!</definedName>
    <definedName name="TM">#REF!</definedName>
    <definedName name="TN_b_qu_n">#REF!</definedName>
    <definedName name="Toanbo">#REF!</definedName>
    <definedName name="ton">#REF!</definedName>
    <definedName name="Tong">#REF!</definedName>
    <definedName name="Tong_co">#REF!</definedName>
    <definedName name="Tong_no">#REF!</definedName>
    <definedName name="tongbt">#REF!</definedName>
    <definedName name="tongcong">#REF!</definedName>
    <definedName name="tongdientich">#REF!</definedName>
    <definedName name="tonghop_t5">#REF!</definedName>
    <definedName name="TonghopHtxH">#REF!</definedName>
    <definedName name="TonghopHtxT">#REF!</definedName>
    <definedName name="tongthep">#REF!</definedName>
    <definedName name="tongthetich">#REF!</definedName>
    <definedName name="TOP">#REF!</definedName>
    <definedName name="TPLRP" localSheetId="40">#REF!</definedName>
    <definedName name="TPLRP">#REF!</definedName>
    <definedName name="Tra_DM_su_dung">#REF!</definedName>
    <definedName name="Tra_don_gia_KS">#REF!</definedName>
    <definedName name="Tra_DTCT">#REF!</definedName>
    <definedName name="Tra_gtxl_cong">#REF!</definedName>
    <definedName name="Tra_tim_hang_mucPT_trung">#REF!</definedName>
    <definedName name="Tra_TL">#REF!</definedName>
    <definedName name="Tra_ty_le2">#REF!</definedName>
    <definedName name="Tra_ty_le3">#REF!</definedName>
    <definedName name="Tra_ty_le4">#REF!</definedName>
    <definedName name="Tra_ty_le5">#REF!</definedName>
    <definedName name="TRA_VAT_LIEU">#REF!</definedName>
    <definedName name="TRA_VL">#REF!</definedName>
    <definedName name="TRADE2" localSheetId="40">#REF!</definedName>
    <definedName name="TRADE2">#REF!</definedName>
    <definedName name="TRAM">#REF!</definedName>
    <definedName name="TRAvH">#REF!</definedName>
    <definedName name="TRAVL">#REF!</definedName>
    <definedName name="TRISO">#REF!</definedName>
    <definedName name="Trô_P1">#REF!</definedName>
    <definedName name="Trô_P10">#REF!</definedName>
    <definedName name="Trô_P11">#REF!</definedName>
    <definedName name="Trô_P2">#REF!</definedName>
    <definedName name="Trô_P3">#REF!</definedName>
    <definedName name="Trô_P4">#REF!</definedName>
    <definedName name="Trô_P5">#REF!</definedName>
    <definedName name="Trô_P6">#REF!</definedName>
    <definedName name="Trô_P7">#REF!</definedName>
    <definedName name="Trô_P8">#REF!</definedName>
    <definedName name="Trô_P9">#REF!</definedName>
    <definedName name="trt">#REF!</definedName>
    <definedName name="ts">#REF!</definedName>
    <definedName name="tsI">#REF!</definedName>
    <definedName name="TT">#REF!</definedName>
    <definedName name="TT_1P" localSheetId="40">#REF!</definedName>
    <definedName name="TT_1P">#REF!</definedName>
    <definedName name="TT_3p" localSheetId="40">#REF!</definedName>
    <definedName name="TT_3p">#REF!</definedName>
    <definedName name="ttam">#REF!</definedName>
    <definedName name="ttao">#REF!</definedName>
    <definedName name="ttbt">#REF!</definedName>
    <definedName name="TTDZ">#REF!</definedName>
    <definedName name="TTDZ35">#REF!</definedName>
    <definedName name="tthi">#REF!</definedName>
    <definedName name="ttronmk" localSheetId="40">#REF!</definedName>
    <definedName name="ttronmk">#REF!</definedName>
    <definedName name="tttt">#REF!</definedName>
    <definedName name="TTVAn5">#REF!</definedName>
    <definedName name="tuong">#REF!</definedName>
    <definedName name="tuong16">#REF!</definedName>
    <definedName name="tuong4">#REF!</definedName>
    <definedName name="TuVan">#REF!</definedName>
    <definedName name="TV">#REF!</definedName>
    <definedName name="tv75nc" localSheetId="40">#REF!</definedName>
    <definedName name="tv75nc">#REF!</definedName>
    <definedName name="tv75vl" localSheetId="40">#REF!</definedName>
    <definedName name="tv75vl">#REF!</definedName>
    <definedName name="Twister">#REF!</definedName>
    <definedName name="ty_le">#REF!</definedName>
    <definedName name="ty_le_BTN">#REF!</definedName>
    <definedName name="Ty_le1">#REF!</definedName>
    <definedName name="Type_1">#REF!</definedName>
    <definedName name="Type_2">#REF!</definedName>
    <definedName name="u">#REF!</definedName>
    <definedName name="U_tien">#REF!</definedName>
    <definedName name="ut">#REF!</definedName>
    <definedName name="UT_1">#REF!</definedName>
    <definedName name="UT1_373">#REF!</definedName>
    <definedName name="V.1">#REF!</definedName>
    <definedName name="V.10">#REF!</definedName>
    <definedName name="V.11">#REF!</definedName>
    <definedName name="V.12">#REF!</definedName>
    <definedName name="V.13">#REF!</definedName>
    <definedName name="V.14">#REF!</definedName>
    <definedName name="V.15">#REF!</definedName>
    <definedName name="V.16">#REF!</definedName>
    <definedName name="V.17">#REF!</definedName>
    <definedName name="V.18">#REF!</definedName>
    <definedName name="V.2">#REF!</definedName>
    <definedName name="V.3">#REF!</definedName>
    <definedName name="V.4">#REF!</definedName>
    <definedName name="V.5">#REF!</definedName>
    <definedName name="V.6">#REF!</definedName>
    <definedName name="V.7">#REF!</definedName>
    <definedName name="V.8">#REF!</definedName>
    <definedName name="V.9">#REF!</definedName>
    <definedName name="VAÄT_LIEÄU">"nhandongia"</definedName>
    <definedName name="Value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nchuyen" localSheetId="40">#REF!</definedName>
    <definedName name="vanchuyen">#REF!</definedName>
    <definedName name="VanChuyenDam">#REF!</definedName>
    <definedName name="vao">#REF!</definedName>
    <definedName name="VARIINST" localSheetId="40">#REF!</definedName>
    <definedName name="VARIINST">#REF!</definedName>
    <definedName name="VARIPURC" localSheetId="40">#REF!</definedName>
    <definedName name="VARIPURC">#REF!</definedName>
    <definedName name="VAT">#REF!</definedName>
    <definedName name="vat_lieu_KVIII" localSheetId="40">#REF!</definedName>
    <definedName name="vat_lieu_KVIII">#REF!</definedName>
    <definedName name="vatlieu">#REF!</definedName>
    <definedName name="Vattu" localSheetId="40">#REF!</definedName>
    <definedName name="Vattu">#REF!</definedName>
    <definedName name="vbtchongnuocm300">#REF!</definedName>
    <definedName name="vbtm150">#REF!</definedName>
    <definedName name="vbtm300">#REF!</definedName>
    <definedName name="vbtm400">#REF!</definedName>
    <definedName name="Vc">#REF!</definedName>
    <definedName name="VCC">#REF!</definedName>
    <definedName name="vccatv">#REF!</definedName>
    <definedName name="vccot35">#REF!</definedName>
    <definedName name="vccott">#REF!</definedName>
    <definedName name="vccottt">#REF!</definedName>
    <definedName name="VCD">#REF!</definedName>
    <definedName name="vcdatc2">#REF!</definedName>
    <definedName name="vcdatc3">#REF!</definedName>
    <definedName name="vcdatd">#REF!</definedName>
    <definedName name="vcday">#REF!</definedName>
    <definedName name="vcdctc">#REF!</definedName>
    <definedName name="vcddx">#REF!</definedName>
    <definedName name="vcg">#REF!</definedName>
    <definedName name="vcgo">#REF!</definedName>
    <definedName name="VCHT" localSheetId="40">#REF!</definedName>
    <definedName name="VCHT">#REF!</definedName>
    <definedName name="vcn">#REF!</definedName>
    <definedName name="VCP">#REF!</definedName>
    <definedName name="vcpk">#REF!</definedName>
    <definedName name="vcsu">#REF!</definedName>
    <definedName name="vctb">#REF!</definedName>
    <definedName name="vctmong">#REF!</definedName>
    <definedName name="VCTT" localSheetId="40">#REF!</definedName>
    <definedName name="VCTT">#REF!</definedName>
    <definedName name="vd3p" localSheetId="40">#REF!</definedName>
    <definedName name="vd3p">#REF!</definedName>
    <definedName name="vidu">#REF!</definedName>
    <definedName name="vkcauthang">#REF!</definedName>
    <definedName name="vksan">#REF!</definedName>
    <definedName name="vl">#REF!</definedName>
    <definedName name="vl1p" localSheetId="40">#REF!</definedName>
    <definedName name="vl1p">#REF!</definedName>
    <definedName name="vl3p" localSheetId="40">#REF!</definedName>
    <definedName name="vl3p">#REF!</definedName>
    <definedName name="VLBS">#N/A</definedName>
    <definedName name="Vlcap0.7">#REF!</definedName>
    <definedName name="VLcap1">#REF!</definedName>
    <definedName name="vldn400" localSheetId="40">#REF!</definedName>
    <definedName name="vldn400">#REF!</definedName>
    <definedName name="vldn600" localSheetId="40">#REF!</definedName>
    <definedName name="vldn600">#REF!</definedName>
    <definedName name="VLIEU">#REF!</definedName>
    <definedName name="vltram" localSheetId="40">#REF!</definedName>
    <definedName name="vltram">#REF!</definedName>
    <definedName name="VLxaydung">#REF!</definedName>
    <definedName name="Von.KL">#REF!</definedName>
    <definedName name="vr3p" localSheetId="40">#REF!</definedName>
    <definedName name="vr3p">#REF!</definedName>
    <definedName name="Vs">#REF!</definedName>
    <definedName name="VT">#REF!</definedName>
    <definedName name="Vu">#REF!</definedName>
    <definedName name="Vua" localSheetId="40">#REF!</definedName>
    <definedName name="Vua">#REF!</definedName>
    <definedName name="VuaBT">#REF!</definedName>
    <definedName name="vuatrat">#REF!</definedName>
    <definedName name="vung">#REF!</definedName>
    <definedName name="vungdcd">#REF!</definedName>
    <definedName name="vungdcl">#REF!</definedName>
    <definedName name="vungnhapk">#REF!</definedName>
    <definedName name="vungnhapl">#REF!</definedName>
    <definedName name="vungxuatk">#REF!</definedName>
    <definedName name="vungxuatl">#REF!</definedName>
    <definedName name="vxuan">#REF!</definedName>
    <definedName name="W" localSheetId="40">#REF!</definedName>
    <definedName name="W">#REF!</definedName>
    <definedName name="wb">#REF!</definedName>
    <definedName name="wrn.chi._.tiÆt." localSheetId="38" hidden="1">{#N/A,#N/A,FALSE,"Chi tiÆt"}</definedName>
    <definedName name="wrn.chi._.tiÆt." localSheetId="40" hidden="1">{#N/A,#N/A,FALSE,"Chi tiÆt"}</definedName>
    <definedName name="wrn.chi._.tiÆt." localSheetId="42" hidden="1">{#N/A,#N/A,FALSE,"Chi tiÆt"}</definedName>
    <definedName name="wrn.chi._.tiÆt." localSheetId="47" hidden="1">{#N/A,#N/A,FALSE,"Chi tiÆt"}</definedName>
    <definedName name="wrn.chi._.tiÆt." localSheetId="44" hidden="1">{#N/A,#N/A,FALSE,"Chi tiÆt"}</definedName>
    <definedName name="wrn.chi._.tiÆt." localSheetId="45" hidden="1">{#N/A,#N/A,FALSE,"Chi tiÆt"}</definedName>
    <definedName name="wrn.chi._.tiÆt." localSheetId="2" hidden="1">{#N/A,#N/A,FALSE,"Chi tiÆt"}</definedName>
    <definedName name="wrn.chi._.tiÆt." localSheetId="6" hidden="1">{#N/A,#N/A,FALSE,"Chi tiÆt"}</definedName>
    <definedName name="wrn.chi._.tiÆt." hidden="1">{#N/A,#N/A,FALSE,"Chi tiÆt"}</definedName>
    <definedName name="wup">#REF!</definedName>
    <definedName name="X" localSheetId="40">#REF!</definedName>
    <definedName name="X">#REF!</definedName>
    <definedName name="x_list">#REF!</definedName>
    <definedName name="x1_">#REF!</definedName>
    <definedName name="x1pind" localSheetId="40">#REF!</definedName>
    <definedName name="x1pind">#REF!</definedName>
    <definedName name="x1ping" localSheetId="40">#REF!</definedName>
    <definedName name="x1ping">#REF!</definedName>
    <definedName name="x1pint" localSheetId="40">#REF!</definedName>
    <definedName name="x1pint">#REF!</definedName>
    <definedName name="x2_">#REF!</definedName>
    <definedName name="xaylap">#REF!</definedName>
    <definedName name="XCCT">0.5</definedName>
    <definedName name="xcp">#REF!</definedName>
    <definedName name="xd0.6">#REF!</definedName>
    <definedName name="xd1.3">#REF!</definedName>
    <definedName name="xd1.5">#REF!</definedName>
    <definedName name="xdd">#REF!</definedName>
    <definedName name="XDDHT">#REF!</definedName>
    <definedName name="xe">#REF!</definedName>
    <definedName name="xfco" localSheetId="40">#REF!</definedName>
    <definedName name="xfco">#REF!</definedName>
    <definedName name="xfco3p" localSheetId="40">#REF!</definedName>
    <definedName name="xfco3p">#REF!</definedName>
    <definedName name="xfcotnc" localSheetId="40">#REF!</definedName>
    <definedName name="xfcotnc">#REF!</definedName>
    <definedName name="xfcotvl" localSheetId="40">#REF!</definedName>
    <definedName name="xfcotvl">#REF!</definedName>
    <definedName name="xh">#REF!</definedName>
    <definedName name="xhn" localSheetId="40">#REF!</definedName>
    <definedName name="xhn">#REF!</definedName>
    <definedName name="xig" localSheetId="40">#REF!</definedName>
    <definedName name="xig">#REF!</definedName>
    <definedName name="xig1" localSheetId="40">#REF!</definedName>
    <definedName name="xig1">#REF!</definedName>
    <definedName name="xig1p" localSheetId="40">#REF!</definedName>
    <definedName name="xig1p">#REF!</definedName>
    <definedName name="xig3p" localSheetId="40">#REF!</definedName>
    <definedName name="xig3p">#REF!</definedName>
    <definedName name="xignc3p" localSheetId="40">#REF!</definedName>
    <definedName name="xignc3p">#REF!</definedName>
    <definedName name="xigvl3p" localSheetId="40">#REF!</definedName>
    <definedName name="xigvl3p">#REF!</definedName>
    <definedName name="xin" localSheetId="40">#REF!</definedName>
    <definedName name="xin">#REF!</definedName>
    <definedName name="xin190" localSheetId="40">#REF!</definedName>
    <definedName name="xin190">#REF!</definedName>
    <definedName name="xin1903p" localSheetId="40">#REF!</definedName>
    <definedName name="xin1903p">#REF!</definedName>
    <definedName name="xin2903p" localSheetId="40">#REF!</definedName>
    <definedName name="xin2903p">#REF!</definedName>
    <definedName name="xin290nc3p" localSheetId="40">#REF!</definedName>
    <definedName name="xin290nc3p">#REF!</definedName>
    <definedName name="xin290vl3p" localSheetId="40">#REF!</definedName>
    <definedName name="xin290vl3p">#REF!</definedName>
    <definedName name="xin3p" localSheetId="40">#REF!</definedName>
    <definedName name="xin3p">#REF!</definedName>
    <definedName name="xind" localSheetId="40">#REF!</definedName>
    <definedName name="xind">#REF!</definedName>
    <definedName name="xind1p" localSheetId="40">#REF!</definedName>
    <definedName name="xind1p">#REF!</definedName>
    <definedName name="xind3p" localSheetId="40">#REF!</definedName>
    <definedName name="xind3p">#REF!</definedName>
    <definedName name="xindnc1p" localSheetId="40">#REF!</definedName>
    <definedName name="xindnc1p">#REF!</definedName>
    <definedName name="xindvl1p" localSheetId="40">#REF!</definedName>
    <definedName name="xindvl1p">#REF!</definedName>
    <definedName name="xing1p" localSheetId="40">#REF!</definedName>
    <definedName name="xing1p">#REF!</definedName>
    <definedName name="xingnc1p" localSheetId="40">#REF!</definedName>
    <definedName name="xingnc1p">#REF!</definedName>
    <definedName name="xingvl1p" localSheetId="40">#REF!</definedName>
    <definedName name="xingvl1p">#REF!</definedName>
    <definedName name="xinnc3p" localSheetId="40">#REF!</definedName>
    <definedName name="xinnc3p">#REF!</definedName>
    <definedName name="xint1p" localSheetId="40">#REF!</definedName>
    <definedName name="xint1p">#REF!</definedName>
    <definedName name="xinvl3p" localSheetId="40">#REF!</definedName>
    <definedName name="xinvl3p">#REF!</definedName>
    <definedName name="xit" localSheetId="40">#REF!</definedName>
    <definedName name="xit">#REF!</definedName>
    <definedName name="xit1" localSheetId="40">#REF!</definedName>
    <definedName name="xit1">#REF!</definedName>
    <definedName name="xit1p" localSheetId="40">#REF!</definedName>
    <definedName name="xit1p">#REF!</definedName>
    <definedName name="xit2nc3p" localSheetId="40">#REF!</definedName>
    <definedName name="xit2nc3p">#REF!</definedName>
    <definedName name="xit2vl3p" localSheetId="40">#REF!</definedName>
    <definedName name="xit2vl3p">#REF!</definedName>
    <definedName name="xit3p" localSheetId="40">#REF!</definedName>
    <definedName name="xit3p">#REF!</definedName>
    <definedName name="xitnc3p" localSheetId="40">#REF!</definedName>
    <definedName name="xitnc3p">#REF!</definedName>
    <definedName name="xitvl3p" localSheetId="40">#REF!</definedName>
    <definedName name="xitvl3p">#REF!</definedName>
    <definedName name="xk0.6">#REF!</definedName>
    <definedName name="xk1.3">#REF!</definedName>
    <definedName name="xk1.5">#REF!</definedName>
    <definedName name="xl">#REF!</definedName>
    <definedName name="xl0.5x150">#REF!</definedName>
    <definedName name="xl3x250">#REF!</definedName>
    <definedName name="XL3X400">#REF!</definedName>
    <definedName name="xlc">#REF!</definedName>
    <definedName name="xld1.4">#REF!</definedName>
    <definedName name="xlk">#REF!</definedName>
    <definedName name="xlk1.4">#REF!</definedName>
    <definedName name="XLxa">#REF!</definedName>
    <definedName name="XMBT">#REF!</definedName>
    <definedName name="xmcax">#REF!</definedName>
    <definedName name="xmp40">#REF!</definedName>
    <definedName name="xn">#REF!</definedName>
    <definedName name="xoanhapk">#REF!,#REF!</definedName>
    <definedName name="xoanhapl">#REF!,#REF!</definedName>
    <definedName name="xoaxuatk">#REF!</definedName>
    <definedName name="xoaxuatl">#REF!</definedName>
    <definedName name="XP">#REF!</definedName>
    <definedName name="Xsi">#REF!</definedName>
    <definedName name="XXT">#REF!</definedName>
    <definedName name="y_list">#REF!</definedName>
    <definedName name="ycp">#REF!</definedName>
    <definedName name="year">#REF!</definedName>
    <definedName name="Yellow2000">#REF!</definedName>
    <definedName name="yy">#REF!</definedName>
    <definedName name="Z" localSheetId="40">#REF!</definedName>
    <definedName name="ZXzX" localSheetId="47" hidden="1">{"'Sheet1'!$L$16"}</definedName>
    <definedName name="ZXzX" localSheetId="45" hidden="1">{"'Sheet1'!$L$16"}</definedName>
    <definedName name="ZXzX" localSheetId="2" hidden="1">{"'Sheet1'!$L$16"}</definedName>
    <definedName name="ZXzX" hidden="1">{"'Sheet1'!$L$16"}</definedName>
    <definedName name="ZYX" localSheetId="40">#REF!</definedName>
    <definedName name="ZYX">#REF!</definedName>
    <definedName name="ZZZ" localSheetId="40">#REF!</definedName>
    <definedName name="ZZZ">#REF!</definedName>
  </definedNames>
  <calcPr calcId="124519" fullPrecision="0"/>
  <fileRecoveryPr repairLoad="1"/>
</workbook>
</file>

<file path=xl/calcChain.xml><?xml version="1.0" encoding="utf-8"?>
<calcChain xmlns="http://schemas.openxmlformats.org/spreadsheetml/2006/main">
  <c r="I22" i="40"/>
  <c r="M22"/>
  <c r="H103" i="30"/>
  <c r="L111" i="1"/>
  <c r="L64"/>
  <c r="F59" i="29"/>
  <c r="N59" s="1"/>
  <c r="D5" i="42"/>
  <c r="D7"/>
  <c r="D10"/>
  <c r="J3" i="30"/>
  <c r="H9"/>
  <c r="J9"/>
  <c r="L9"/>
  <c r="N9"/>
  <c r="O9"/>
  <c r="H17"/>
  <c r="N17" s="1"/>
  <c r="J17"/>
  <c r="J18"/>
  <c r="J20" s="1"/>
  <c r="J30" s="1"/>
  <c r="H18"/>
  <c r="H20" s="1"/>
  <c r="J21"/>
  <c r="H34"/>
  <c r="H52"/>
  <c r="H56" s="1"/>
  <c r="J56"/>
  <c r="J63"/>
  <c r="H64"/>
  <c r="H65"/>
  <c r="H66"/>
  <c r="H67"/>
  <c r="H69"/>
  <c r="J69"/>
  <c r="H75"/>
  <c r="J75"/>
  <c r="H76"/>
  <c r="J76"/>
  <c r="H77"/>
  <c r="J77"/>
  <c r="H78"/>
  <c r="J78"/>
  <c r="H82"/>
  <c r="H83"/>
  <c r="H84"/>
  <c r="J86"/>
  <c r="N86"/>
  <c r="H89"/>
  <c r="H91"/>
  <c r="H93" s="1"/>
  <c r="L93" s="1"/>
  <c r="J93"/>
  <c r="N93"/>
  <c r="H102"/>
  <c r="H105"/>
  <c r="J105"/>
  <c r="N105"/>
  <c r="H111"/>
  <c r="J111"/>
  <c r="H117"/>
  <c r="J117"/>
  <c r="H120"/>
  <c r="J120"/>
  <c r="L120"/>
  <c r="N120"/>
  <c r="H125"/>
  <c r="H131"/>
  <c r="H132" s="1"/>
  <c r="N145"/>
  <c r="O145" s="1"/>
  <c r="N146"/>
  <c r="O146" s="1"/>
  <c r="O147"/>
  <c r="H148"/>
  <c r="H153" s="1"/>
  <c r="O148"/>
  <c r="H149"/>
  <c r="N149"/>
  <c r="O149" s="1"/>
  <c r="O150"/>
  <c r="J153"/>
  <c r="J190"/>
  <c r="E200"/>
  <c r="J200" s="1"/>
  <c r="L216"/>
  <c r="N223"/>
  <c r="H231"/>
  <c r="J231"/>
  <c r="N231" s="1"/>
  <c r="J237"/>
  <c r="J238"/>
  <c r="H238"/>
  <c r="H275"/>
  <c r="H276"/>
  <c r="B281"/>
  <c r="K3" i="27"/>
  <c r="K10"/>
  <c r="K11"/>
  <c r="K12"/>
  <c r="G13"/>
  <c r="K13" s="1"/>
  <c r="K14"/>
  <c r="K15"/>
  <c r="I16"/>
  <c r="K16" s="1"/>
  <c r="K17"/>
  <c r="B18"/>
  <c r="C18"/>
  <c r="C19" s="1"/>
  <c r="D18"/>
  <c r="E18"/>
  <c r="F18"/>
  <c r="H18"/>
  <c r="H19" s="1"/>
  <c r="H27" s="1"/>
  <c r="H28" s="1"/>
  <c r="I18"/>
  <c r="I19" s="1"/>
  <c r="J18"/>
  <c r="B19"/>
  <c r="D19"/>
  <c r="E19"/>
  <c r="E27" s="1"/>
  <c r="E28" s="1"/>
  <c r="F19"/>
  <c r="J44" i="30" s="1"/>
  <c r="K20" i="27"/>
  <c r="K22"/>
  <c r="K23"/>
  <c r="K24"/>
  <c r="K25"/>
  <c r="K26"/>
  <c r="B27"/>
  <c r="D27"/>
  <c r="D28"/>
  <c r="F27"/>
  <c r="H44" i="30"/>
  <c r="J27" i="27"/>
  <c r="J28"/>
  <c r="J3" i="29"/>
  <c r="J9"/>
  <c r="L9" s="1"/>
  <c r="H10"/>
  <c r="J10" s="1"/>
  <c r="J11"/>
  <c r="J12"/>
  <c r="J13"/>
  <c r="J14"/>
  <c r="H15"/>
  <c r="J15" s="1"/>
  <c r="J16"/>
  <c r="J17"/>
  <c r="J19"/>
  <c r="J20"/>
  <c r="L20" s="1"/>
  <c r="H21"/>
  <c r="J21" s="1"/>
  <c r="J22"/>
  <c r="J23"/>
  <c r="H24"/>
  <c r="J24" s="1"/>
  <c r="J25"/>
  <c r="J26"/>
  <c r="H27"/>
  <c r="J27" s="1"/>
  <c r="L27" s="1"/>
  <c r="J28"/>
  <c r="H29"/>
  <c r="J29" s="1"/>
  <c r="H38"/>
  <c r="J38"/>
  <c r="L38"/>
  <c r="N38"/>
  <c r="J44"/>
  <c r="F46"/>
  <c r="J46"/>
  <c r="F53"/>
  <c r="J53"/>
  <c r="F62"/>
  <c r="D66"/>
  <c r="F66"/>
  <c r="H66"/>
  <c r="J67"/>
  <c r="J68"/>
  <c r="J69"/>
  <c r="J70"/>
  <c r="D71"/>
  <c r="F71"/>
  <c r="H71"/>
  <c r="J72"/>
  <c r="J73"/>
  <c r="J74"/>
  <c r="J71" s="1"/>
  <c r="J75"/>
  <c r="F76"/>
  <c r="H76"/>
  <c r="C77"/>
  <c r="D77"/>
  <c r="J77"/>
  <c r="C78"/>
  <c r="D78"/>
  <c r="J78"/>
  <c r="C79"/>
  <c r="D79"/>
  <c r="J79"/>
  <c r="C80"/>
  <c r="D80"/>
  <c r="D76" s="1"/>
  <c r="J80"/>
  <c r="D87"/>
  <c r="F87"/>
  <c r="G87"/>
  <c r="H87"/>
  <c r="I87"/>
  <c r="J87"/>
  <c r="L87"/>
  <c r="N87"/>
  <c r="H117"/>
  <c r="J117"/>
  <c r="H126"/>
  <c r="J126"/>
  <c r="H134"/>
  <c r="J134"/>
  <c r="J138"/>
  <c r="N138"/>
  <c r="H142"/>
  <c r="H138" s="1"/>
  <c r="H146" s="1"/>
  <c r="J146"/>
  <c r="N146"/>
  <c r="H151"/>
  <c r="J151"/>
  <c r="H154"/>
  <c r="J154"/>
  <c r="H158"/>
  <c r="J158"/>
  <c r="H161"/>
  <c r="J161"/>
  <c r="H171"/>
  <c r="J171"/>
  <c r="H408"/>
  <c r="J408"/>
  <c r="H412"/>
  <c r="J412"/>
  <c r="L412"/>
  <c r="N412"/>
  <c r="H416"/>
  <c r="J416"/>
  <c r="H437"/>
  <c r="J437"/>
  <c r="H447"/>
  <c r="J447"/>
  <c r="H450"/>
  <c r="J450"/>
  <c r="L450"/>
  <c r="N450"/>
  <c r="H454"/>
  <c r="H460" s="1"/>
  <c r="J460"/>
  <c r="N460" s="1"/>
  <c r="J464"/>
  <c r="J475" s="1"/>
  <c r="N475" s="1"/>
  <c r="H471"/>
  <c r="H464"/>
  <c r="H475" s="1"/>
  <c r="L475" s="1"/>
  <c r="H478"/>
  <c r="J478"/>
  <c r="N478" s="1"/>
  <c r="N480" s="1"/>
  <c r="H488"/>
  <c r="J488"/>
  <c r="H494"/>
  <c r="J494"/>
  <c r="L494"/>
  <c r="N494"/>
  <c r="H500"/>
  <c r="J500"/>
  <c r="H504"/>
  <c r="H503"/>
  <c r="J504"/>
  <c r="J503"/>
  <c r="H511"/>
  <c r="H509"/>
  <c r="H517" s="1"/>
  <c r="J511"/>
  <c r="J509" s="1"/>
  <c r="O511"/>
  <c r="I3" i="24"/>
  <c r="I8"/>
  <c r="J8" s="1"/>
  <c r="I9"/>
  <c r="I10"/>
  <c r="I11"/>
  <c r="I12"/>
  <c r="I13"/>
  <c r="I14"/>
  <c r="C15"/>
  <c r="D15"/>
  <c r="E15"/>
  <c r="F15"/>
  <c r="G15"/>
  <c r="H15"/>
  <c r="I15"/>
  <c r="I17"/>
  <c r="J17" s="1"/>
  <c r="C18"/>
  <c r="C23" s="1"/>
  <c r="C26" s="1"/>
  <c r="D18"/>
  <c r="E18"/>
  <c r="E23" s="1"/>
  <c r="E26" s="1"/>
  <c r="F18"/>
  <c r="I19"/>
  <c r="I20"/>
  <c r="I22"/>
  <c r="D23"/>
  <c r="F23"/>
  <c r="G23"/>
  <c r="H23"/>
  <c r="C25"/>
  <c r="D25"/>
  <c r="E25"/>
  <c r="F25"/>
  <c r="G25"/>
  <c r="H25"/>
  <c r="I25"/>
  <c r="D26"/>
  <c r="F26"/>
  <c r="G26"/>
  <c r="H26"/>
  <c r="I31"/>
  <c r="J31" s="1"/>
  <c r="I32"/>
  <c r="I33"/>
  <c r="I34"/>
  <c r="I35"/>
  <c r="I36"/>
  <c r="C37"/>
  <c r="D37"/>
  <c r="E37"/>
  <c r="F37"/>
  <c r="G37"/>
  <c r="H37"/>
  <c r="I39"/>
  <c r="J39" s="1"/>
  <c r="I40"/>
  <c r="I41"/>
  <c r="I42"/>
  <c r="I43"/>
  <c r="I44"/>
  <c r="C45"/>
  <c r="D45"/>
  <c r="E45"/>
  <c r="E48" s="1"/>
  <c r="F45"/>
  <c r="F48" s="1"/>
  <c r="G45"/>
  <c r="H45"/>
  <c r="C47"/>
  <c r="D47"/>
  <c r="E47"/>
  <c r="F47"/>
  <c r="G47"/>
  <c r="H47"/>
  <c r="I47"/>
  <c r="J47" s="1"/>
  <c r="C48"/>
  <c r="G48"/>
  <c r="I51"/>
  <c r="J3" i="11"/>
  <c r="J175"/>
  <c r="J179"/>
  <c r="H184"/>
  <c r="H183" s="1"/>
  <c r="H188" s="1"/>
  <c r="J184"/>
  <c r="J183" s="1"/>
  <c r="F194"/>
  <c r="J194"/>
  <c r="L194"/>
  <c r="N194"/>
  <c r="F210"/>
  <c r="N210"/>
  <c r="N225"/>
  <c r="H235"/>
  <c r="H234" s="1"/>
  <c r="J235"/>
  <c r="J234" s="1"/>
  <c r="N237"/>
  <c r="N238" s="1"/>
  <c r="L243"/>
  <c r="N243" s="1"/>
  <c r="H318"/>
  <c r="H317" s="1"/>
  <c r="J318"/>
  <c r="L319"/>
  <c r="N322"/>
  <c r="H387"/>
  <c r="J387"/>
  <c r="H393"/>
  <c r="I393"/>
  <c r="J393"/>
  <c r="H425"/>
  <c r="H392" s="1"/>
  <c r="L392" s="1"/>
  <c r="J425"/>
  <c r="J433"/>
  <c r="H446"/>
  <c r="J446"/>
  <c r="L462"/>
  <c r="N462"/>
  <c r="H470"/>
  <c r="J470"/>
  <c r="N470" s="1"/>
  <c r="A1" i="41"/>
  <c r="A2"/>
  <c r="G15"/>
  <c r="G21"/>
  <c r="I21"/>
  <c r="G31"/>
  <c r="I31"/>
  <c r="G36"/>
  <c r="G40"/>
  <c r="G42" s="1"/>
  <c r="I40"/>
  <c r="I42" s="1"/>
  <c r="I45" s="1"/>
  <c r="K42"/>
  <c r="L42"/>
  <c r="B47"/>
  <c r="D54"/>
  <c r="A1" i="40"/>
  <c r="A2"/>
  <c r="K13"/>
  <c r="O13"/>
  <c r="O18" s="1"/>
  <c r="O20" s="1"/>
  <c r="O26" s="1"/>
  <c r="S15"/>
  <c r="I18"/>
  <c r="I20" s="1"/>
  <c r="I26" s="1"/>
  <c r="K18"/>
  <c r="M18"/>
  <c r="M20" s="1"/>
  <c r="M26" s="1"/>
  <c r="M30" s="1"/>
  <c r="K20"/>
  <c r="K26" s="1"/>
  <c r="R21"/>
  <c r="I29"/>
  <c r="K29"/>
  <c r="M29"/>
  <c r="O29"/>
  <c r="I32"/>
  <c r="K32"/>
  <c r="M37"/>
  <c r="D48" i="41" s="1"/>
  <c r="M44" i="40"/>
  <c r="K58"/>
  <c r="A1" i="33"/>
  <c r="A2"/>
  <c r="A3"/>
  <c r="G12"/>
  <c r="G19" s="1"/>
  <c r="G28" s="1"/>
  <c r="G37"/>
  <c r="G45"/>
  <c r="A58"/>
  <c r="C58"/>
  <c r="A1" i="1"/>
  <c r="A1" i="11" s="1"/>
  <c r="Q1" i="1"/>
  <c r="A2"/>
  <c r="A2" i="37" s="1"/>
  <c r="Q3" i="1"/>
  <c r="P2" s="1"/>
  <c r="Q5"/>
  <c r="P6"/>
  <c r="A7"/>
  <c r="Q7"/>
  <c r="R8" s="1"/>
  <c r="H13"/>
  <c r="L13"/>
  <c r="N13"/>
  <c r="O13" s="1"/>
  <c r="Q13"/>
  <c r="R13"/>
  <c r="S13"/>
  <c r="T13"/>
  <c r="U13"/>
  <c r="O14"/>
  <c r="P14"/>
  <c r="P13"/>
  <c r="Z14"/>
  <c r="O15"/>
  <c r="P15"/>
  <c r="Z15"/>
  <c r="H16"/>
  <c r="N16"/>
  <c r="P16"/>
  <c r="O17"/>
  <c r="P17"/>
  <c r="Z17"/>
  <c r="L18"/>
  <c r="L16" s="1"/>
  <c r="P18"/>
  <c r="H19"/>
  <c r="N19"/>
  <c r="Q19"/>
  <c r="R19"/>
  <c r="S19"/>
  <c r="T19"/>
  <c r="U19"/>
  <c r="O20"/>
  <c r="P20"/>
  <c r="O21"/>
  <c r="P21"/>
  <c r="L22"/>
  <c r="O22" s="1"/>
  <c r="P22"/>
  <c r="O23"/>
  <c r="P23"/>
  <c r="O24"/>
  <c r="P24"/>
  <c r="O25"/>
  <c r="P25"/>
  <c r="P26"/>
  <c r="Z26"/>
  <c r="L27"/>
  <c r="L446" i="11" s="1"/>
  <c r="N27" i="1"/>
  <c r="N446" i="11" s="1"/>
  <c r="Q27" i="1"/>
  <c r="R27"/>
  <c r="S27"/>
  <c r="T27"/>
  <c r="U27"/>
  <c r="O28"/>
  <c r="P28"/>
  <c r="O29"/>
  <c r="P29"/>
  <c r="H29"/>
  <c r="H27" s="1"/>
  <c r="Z29"/>
  <c r="P30"/>
  <c r="Z30"/>
  <c r="H31"/>
  <c r="L31"/>
  <c r="Z31" s="1"/>
  <c r="N31"/>
  <c r="Q31"/>
  <c r="R31"/>
  <c r="S31"/>
  <c r="T31"/>
  <c r="T11" s="1"/>
  <c r="U31"/>
  <c r="O32"/>
  <c r="P32"/>
  <c r="Z32"/>
  <c r="O33"/>
  <c r="P33"/>
  <c r="Z33"/>
  <c r="O34"/>
  <c r="P34"/>
  <c r="Z34"/>
  <c r="O35"/>
  <c r="P35"/>
  <c r="Z35"/>
  <c r="P36"/>
  <c r="Z36"/>
  <c r="N38"/>
  <c r="P38"/>
  <c r="P39"/>
  <c r="H39" s="1"/>
  <c r="P40"/>
  <c r="H40" s="1"/>
  <c r="O41"/>
  <c r="P41"/>
  <c r="Z41"/>
  <c r="P42"/>
  <c r="H42"/>
  <c r="P43"/>
  <c r="H43"/>
  <c r="H45"/>
  <c r="N45"/>
  <c r="Q45"/>
  <c r="R45"/>
  <c r="R44" s="1"/>
  <c r="R37" s="1"/>
  <c r="S45"/>
  <c r="T45"/>
  <c r="U45"/>
  <c r="L46"/>
  <c r="O46" s="1"/>
  <c r="P46"/>
  <c r="P45" s="1"/>
  <c r="L47"/>
  <c r="O47" s="1"/>
  <c r="P47"/>
  <c r="J48"/>
  <c r="L48"/>
  <c r="N48"/>
  <c r="O48" s="1"/>
  <c r="P48"/>
  <c r="Z48"/>
  <c r="O49"/>
  <c r="P49"/>
  <c r="H49" s="1"/>
  <c r="Z49"/>
  <c r="O50"/>
  <c r="P50"/>
  <c r="H50" s="1"/>
  <c r="Z50"/>
  <c r="H51"/>
  <c r="L51"/>
  <c r="Z51" s="1"/>
  <c r="N51"/>
  <c r="O51" s="1"/>
  <c r="Q51"/>
  <c r="R51"/>
  <c r="S51"/>
  <c r="T51"/>
  <c r="T44" s="1"/>
  <c r="T37" s="1"/>
  <c r="T70" s="1"/>
  <c r="U51"/>
  <c r="O52"/>
  <c r="P52"/>
  <c r="P51" s="1"/>
  <c r="Z52"/>
  <c r="O53"/>
  <c r="P53"/>
  <c r="Z53"/>
  <c r="O54"/>
  <c r="P54"/>
  <c r="Z54"/>
  <c r="P55"/>
  <c r="Z55"/>
  <c r="N56"/>
  <c r="P56"/>
  <c r="P57"/>
  <c r="H57" s="1"/>
  <c r="H56" s="1"/>
  <c r="P58"/>
  <c r="H58" s="1"/>
  <c r="P59"/>
  <c r="Z59"/>
  <c r="H60"/>
  <c r="N60"/>
  <c r="N134" i="29" s="1"/>
  <c r="P60" i="1"/>
  <c r="Y60"/>
  <c r="L61"/>
  <c r="L60" s="1"/>
  <c r="P61"/>
  <c r="O62"/>
  <c r="P62"/>
  <c r="Z62"/>
  <c r="O63"/>
  <c r="P63"/>
  <c r="Z63"/>
  <c r="O64"/>
  <c r="P64"/>
  <c r="Z64"/>
  <c r="P65"/>
  <c r="Z65"/>
  <c r="H66"/>
  <c r="N66"/>
  <c r="Q66"/>
  <c r="R66"/>
  <c r="S66"/>
  <c r="T66"/>
  <c r="U66"/>
  <c r="Y66"/>
  <c r="L67"/>
  <c r="O67"/>
  <c r="P67"/>
  <c r="Z67"/>
  <c r="P68"/>
  <c r="O69"/>
  <c r="P69"/>
  <c r="P66" s="1"/>
  <c r="Z69"/>
  <c r="P71"/>
  <c r="Z71"/>
  <c r="P72"/>
  <c r="Z72"/>
  <c r="P73"/>
  <c r="Z73"/>
  <c r="O74"/>
  <c r="P74"/>
  <c r="Z74"/>
  <c r="H76"/>
  <c r="N76"/>
  <c r="Q76"/>
  <c r="R76"/>
  <c r="S76"/>
  <c r="T76"/>
  <c r="U76"/>
  <c r="L77"/>
  <c r="E201" i="30"/>
  <c r="J201" s="1"/>
  <c r="O77" i="1"/>
  <c r="P77"/>
  <c r="O78"/>
  <c r="P78"/>
  <c r="O79"/>
  <c r="P79"/>
  <c r="L80"/>
  <c r="O80"/>
  <c r="P80"/>
  <c r="O81"/>
  <c r="P81"/>
  <c r="O82"/>
  <c r="P82"/>
  <c r="O83"/>
  <c r="P83"/>
  <c r="O84"/>
  <c r="P84"/>
  <c r="O85"/>
  <c r="P85"/>
  <c r="O86"/>
  <c r="P86"/>
  <c r="P87"/>
  <c r="P88"/>
  <c r="Z88"/>
  <c r="N89"/>
  <c r="Q89"/>
  <c r="Q75" s="1"/>
  <c r="Q119" s="1"/>
  <c r="R89"/>
  <c r="S89"/>
  <c r="T89"/>
  <c r="U89"/>
  <c r="U75"/>
  <c r="O90"/>
  <c r="P90"/>
  <c r="O91"/>
  <c r="P91"/>
  <c r="O92"/>
  <c r="P92"/>
  <c r="L93"/>
  <c r="L89" s="1"/>
  <c r="P93"/>
  <c r="O94"/>
  <c r="P94"/>
  <c r="O95"/>
  <c r="P95"/>
  <c r="O96"/>
  <c r="P96"/>
  <c r="P97"/>
  <c r="H98"/>
  <c r="H89" s="1"/>
  <c r="H75" s="1"/>
  <c r="P98"/>
  <c r="P99"/>
  <c r="Z99"/>
  <c r="H101"/>
  <c r="N101"/>
  <c r="Q101"/>
  <c r="Q100" s="1"/>
  <c r="R101"/>
  <c r="R100"/>
  <c r="S101"/>
  <c r="S100" s="1"/>
  <c r="T101"/>
  <c r="T100" s="1"/>
  <c r="U101"/>
  <c r="U100" s="1"/>
  <c r="O102"/>
  <c r="P102"/>
  <c r="O103"/>
  <c r="P103"/>
  <c r="O104"/>
  <c r="P104"/>
  <c r="O105"/>
  <c r="P105"/>
  <c r="O106"/>
  <c r="P106"/>
  <c r="O107"/>
  <c r="P107"/>
  <c r="O108"/>
  <c r="P108"/>
  <c r="O109"/>
  <c r="P109"/>
  <c r="O110"/>
  <c r="P110"/>
  <c r="L101"/>
  <c r="P111"/>
  <c r="O112"/>
  <c r="P112"/>
  <c r="P113"/>
  <c r="P114"/>
  <c r="Z114"/>
  <c r="N115"/>
  <c r="P115"/>
  <c r="H115" s="1"/>
  <c r="H100" s="1"/>
  <c r="H119" s="1"/>
  <c r="E129"/>
  <c r="H130"/>
  <c r="H135"/>
  <c r="H281" i="30" s="1"/>
  <c r="L145" i="1"/>
  <c r="A30" i="32"/>
  <c r="A31"/>
  <c r="B109"/>
  <c r="B117"/>
  <c r="B118"/>
  <c r="B119"/>
  <c r="D134"/>
  <c r="A1" i="31"/>
  <c r="A2"/>
  <c r="G6" i="10"/>
  <c r="B7"/>
  <c r="D7"/>
  <c r="E7"/>
  <c r="B8"/>
  <c r="D8"/>
  <c r="E8"/>
  <c r="F8" s="1"/>
  <c r="B9"/>
  <c r="D9"/>
  <c r="E9"/>
  <c r="B10"/>
  <c r="D10"/>
  <c r="E10"/>
  <c r="F10" s="1"/>
  <c r="B11"/>
  <c r="D11"/>
  <c r="E11"/>
  <c r="B12"/>
  <c r="D12"/>
  <c r="E12"/>
  <c r="F12" s="1"/>
  <c r="B13"/>
  <c r="D13"/>
  <c r="E13"/>
  <c r="B14"/>
  <c r="D14"/>
  <c r="E14"/>
  <c r="F14" s="1"/>
  <c r="B15"/>
  <c r="D15"/>
  <c r="E15"/>
  <c r="D16"/>
  <c r="E16"/>
  <c r="D17"/>
  <c r="E17"/>
  <c r="B18"/>
  <c r="D18"/>
  <c r="E18"/>
  <c r="F18" s="1"/>
  <c r="B19"/>
  <c r="D19"/>
  <c r="E19"/>
  <c r="B20"/>
  <c r="D20"/>
  <c r="E20"/>
  <c r="F20" s="1"/>
  <c r="B21"/>
  <c r="D21"/>
  <c r="E21"/>
  <c r="B22"/>
  <c r="D22"/>
  <c r="E22"/>
  <c r="F22" s="1"/>
  <c r="B23"/>
  <c r="D23"/>
  <c r="E23"/>
  <c r="B24"/>
  <c r="D24"/>
  <c r="E24"/>
  <c r="F24" s="1"/>
  <c r="B25"/>
  <c r="D25"/>
  <c r="E25"/>
  <c r="B26"/>
  <c r="D26"/>
  <c r="E26"/>
  <c r="F26" s="1"/>
  <c r="D27"/>
  <c r="E27"/>
  <c r="B28"/>
  <c r="D28"/>
  <c r="E28"/>
  <c r="D29"/>
  <c r="E29"/>
  <c r="B30"/>
  <c r="D30"/>
  <c r="E30"/>
  <c r="F30" s="1"/>
  <c r="B31"/>
  <c r="D31"/>
  <c r="E31"/>
  <c r="B32"/>
  <c r="D32"/>
  <c r="E32"/>
  <c r="F32" s="1"/>
  <c r="B33"/>
  <c r="D33"/>
  <c r="E33"/>
  <c r="B34"/>
  <c r="D34"/>
  <c r="E34"/>
  <c r="F34" s="1"/>
  <c r="B35"/>
  <c r="D35"/>
  <c r="E35"/>
  <c r="B36"/>
  <c r="D36"/>
  <c r="E36"/>
  <c r="F36" s="1"/>
  <c r="B37"/>
  <c r="D37"/>
  <c r="E37"/>
  <c r="F37"/>
  <c r="B38"/>
  <c r="D38"/>
  <c r="E38"/>
  <c r="F38"/>
  <c r="B39"/>
  <c r="D39"/>
  <c r="G39" s="1"/>
  <c r="E39"/>
  <c r="F39"/>
  <c r="B40"/>
  <c r="D40"/>
  <c r="E40"/>
  <c r="F40"/>
  <c r="B41"/>
  <c r="D41"/>
  <c r="G41" s="1"/>
  <c r="E41"/>
  <c r="F41"/>
  <c r="B42"/>
  <c r="D42"/>
  <c r="E42"/>
  <c r="F42"/>
  <c r="B43"/>
  <c r="D43"/>
  <c r="G43" s="1"/>
  <c r="E43"/>
  <c r="F43"/>
  <c r="B44"/>
  <c r="D44"/>
  <c r="E44"/>
  <c r="F44"/>
  <c r="B45"/>
  <c r="D45"/>
  <c r="G45" s="1"/>
  <c r="E45"/>
  <c r="F45"/>
  <c r="B46"/>
  <c r="D46"/>
  <c r="E46"/>
  <c r="F46"/>
  <c r="B47"/>
  <c r="D47"/>
  <c r="G47" s="1"/>
  <c r="E47"/>
  <c r="F47"/>
  <c r="B48"/>
  <c r="D48"/>
  <c r="E48"/>
  <c r="F48"/>
  <c r="B49"/>
  <c r="D49"/>
  <c r="G49" s="1"/>
  <c r="E49"/>
  <c r="F49"/>
  <c r="B50"/>
  <c r="D50"/>
  <c r="E50"/>
  <c r="F50"/>
  <c r="B51"/>
  <c r="D51"/>
  <c r="G51" s="1"/>
  <c r="E51"/>
  <c r="F51"/>
  <c r="B52"/>
  <c r="D52"/>
  <c r="E52"/>
  <c r="F52"/>
  <c r="B53"/>
  <c r="D53"/>
  <c r="G53" s="1"/>
  <c r="E53"/>
  <c r="F53"/>
  <c r="B54"/>
  <c r="D54"/>
  <c r="E54"/>
  <c r="F54"/>
  <c r="B55"/>
  <c r="D55"/>
  <c r="G55" s="1"/>
  <c r="E55"/>
  <c r="F55"/>
  <c r="B56"/>
  <c r="D56"/>
  <c r="E56"/>
  <c r="F56"/>
  <c r="B57"/>
  <c r="D57"/>
  <c r="G57" s="1"/>
  <c r="E57"/>
  <c r="F57"/>
  <c r="B58"/>
  <c r="D58"/>
  <c r="E58"/>
  <c r="F58"/>
  <c r="B59"/>
  <c r="D59"/>
  <c r="G59" s="1"/>
  <c r="E59"/>
  <c r="F59"/>
  <c r="B60"/>
  <c r="D60"/>
  <c r="E60"/>
  <c r="F60"/>
  <c r="B61"/>
  <c r="D61"/>
  <c r="G61" s="1"/>
  <c r="E61"/>
  <c r="F61"/>
  <c r="B62"/>
  <c r="D62"/>
  <c r="E62"/>
  <c r="F62"/>
  <c r="B63"/>
  <c r="D63"/>
  <c r="G63" s="1"/>
  <c r="E63"/>
  <c r="F63"/>
  <c r="B64"/>
  <c r="D64"/>
  <c r="E64"/>
  <c r="F64"/>
  <c r="B65"/>
  <c r="D65"/>
  <c r="E65"/>
  <c r="F65"/>
  <c r="B66"/>
  <c r="D66"/>
  <c r="E66"/>
  <c r="B67"/>
  <c r="D67"/>
  <c r="E67"/>
  <c r="F67" s="1"/>
  <c r="D68"/>
  <c r="E68"/>
  <c r="B69"/>
  <c r="D69"/>
  <c r="E69"/>
  <c r="B70"/>
  <c r="D70"/>
  <c r="E70"/>
  <c r="F70" s="1"/>
  <c r="B71"/>
  <c r="D71"/>
  <c r="E71"/>
  <c r="B72"/>
  <c r="D72"/>
  <c r="E72"/>
  <c r="F72" s="1"/>
  <c r="B73"/>
  <c r="D73"/>
  <c r="E73"/>
  <c r="B74"/>
  <c r="D74"/>
  <c r="E74"/>
  <c r="F74" s="1"/>
  <c r="D75"/>
  <c r="E75"/>
  <c r="F75" s="1"/>
  <c r="B76"/>
  <c r="D76"/>
  <c r="E76"/>
  <c r="B77"/>
  <c r="D77"/>
  <c r="E77"/>
  <c r="F77" s="1"/>
  <c r="B78"/>
  <c r="D78"/>
  <c r="E78"/>
  <c r="B79"/>
  <c r="D79"/>
  <c r="E79"/>
  <c r="F79" s="1"/>
  <c r="B80"/>
  <c r="D80"/>
  <c r="E80"/>
  <c r="B81"/>
  <c r="D81"/>
  <c r="E81"/>
  <c r="F81" s="1"/>
  <c r="B82"/>
  <c r="D82"/>
  <c r="E82"/>
  <c r="B83"/>
  <c r="D83"/>
  <c r="E83"/>
  <c r="F83" s="1"/>
  <c r="B84"/>
  <c r="D84"/>
  <c r="E84"/>
  <c r="B85"/>
  <c r="D85"/>
  <c r="E85"/>
  <c r="F85" s="1"/>
  <c r="B86"/>
  <c r="D86"/>
  <c r="E86"/>
  <c r="B87"/>
  <c r="D87"/>
  <c r="E87"/>
  <c r="F87" s="1"/>
  <c r="B88"/>
  <c r="D88"/>
  <c r="E88"/>
  <c r="B89"/>
  <c r="D89"/>
  <c r="E89"/>
  <c r="F89" s="1"/>
  <c r="B90"/>
  <c r="D90"/>
  <c r="E90"/>
  <c r="B91"/>
  <c r="D91"/>
  <c r="E91"/>
  <c r="F91" s="1"/>
  <c r="B92"/>
  <c r="D92"/>
  <c r="E92"/>
  <c r="B93"/>
  <c r="D93"/>
  <c r="E93"/>
  <c r="F93" s="1"/>
  <c r="B94"/>
  <c r="D94"/>
  <c r="E94"/>
  <c r="B95"/>
  <c r="D95"/>
  <c r="E95"/>
  <c r="F95" s="1"/>
  <c r="B96"/>
  <c r="D96"/>
  <c r="E96"/>
  <c r="B97"/>
  <c r="D97"/>
  <c r="E97"/>
  <c r="F97" s="1"/>
  <c r="B98"/>
  <c r="D98"/>
  <c r="E98"/>
  <c r="B99"/>
  <c r="D99"/>
  <c r="E99"/>
  <c r="F99" s="1"/>
  <c r="B100"/>
  <c r="D100"/>
  <c r="E100"/>
  <c r="B101"/>
  <c r="D101"/>
  <c r="E101"/>
  <c r="F101" s="1"/>
  <c r="B102"/>
  <c r="D102"/>
  <c r="E102"/>
  <c r="G103"/>
  <c r="E33" i="8"/>
  <c r="E35"/>
  <c r="F35"/>
  <c r="E37"/>
  <c r="F37"/>
  <c r="E38"/>
  <c r="F38"/>
  <c r="E39"/>
  <c r="F39"/>
  <c r="E40"/>
  <c r="F40"/>
  <c r="E41"/>
  <c r="F41"/>
  <c r="E42"/>
  <c r="F42"/>
  <c r="A1" i="36"/>
  <c r="O6"/>
  <c r="B7"/>
  <c r="H7"/>
  <c r="I7"/>
  <c r="J7"/>
  <c r="K7"/>
  <c r="R7"/>
  <c r="S7"/>
  <c r="B8"/>
  <c r="H8"/>
  <c r="I8"/>
  <c r="J8"/>
  <c r="K8"/>
  <c r="L8"/>
  <c r="R8"/>
  <c r="S8"/>
  <c r="B9"/>
  <c r="H9"/>
  <c r="I9"/>
  <c r="J9"/>
  <c r="K9"/>
  <c r="R9"/>
  <c r="S9"/>
  <c r="B10"/>
  <c r="H10"/>
  <c r="I10"/>
  <c r="J10"/>
  <c r="K10"/>
  <c r="L10"/>
  <c r="R10"/>
  <c r="S10"/>
  <c r="B11"/>
  <c r="H11"/>
  <c r="I11"/>
  <c r="J11"/>
  <c r="K11"/>
  <c r="L11"/>
  <c r="R11"/>
  <c r="S11"/>
  <c r="B12"/>
  <c r="H12"/>
  <c r="I12"/>
  <c r="J12"/>
  <c r="K12"/>
  <c r="R12"/>
  <c r="S12"/>
  <c r="B13"/>
  <c r="J13"/>
  <c r="K13"/>
  <c r="M13" s="1"/>
  <c r="R13"/>
  <c r="S13"/>
  <c r="B14"/>
  <c r="H14"/>
  <c r="I14"/>
  <c r="J14"/>
  <c r="K14"/>
  <c r="L14"/>
  <c r="R14"/>
  <c r="S14"/>
  <c r="B15"/>
  <c r="H15"/>
  <c r="I15"/>
  <c r="J15"/>
  <c r="K15"/>
  <c r="L15"/>
  <c r="R15"/>
  <c r="S15"/>
  <c r="H16"/>
  <c r="I16"/>
  <c r="J16"/>
  <c r="K16"/>
  <c r="L16"/>
  <c r="R16"/>
  <c r="S16"/>
  <c r="H17"/>
  <c r="I17"/>
  <c r="J17"/>
  <c r="K17"/>
  <c r="L17"/>
  <c r="R17"/>
  <c r="S17"/>
  <c r="B18"/>
  <c r="H18"/>
  <c r="I18"/>
  <c r="J18"/>
  <c r="K18"/>
  <c r="M18" s="1"/>
  <c r="R18"/>
  <c r="S18"/>
  <c r="B19"/>
  <c r="H19"/>
  <c r="I19"/>
  <c r="J19"/>
  <c r="K19"/>
  <c r="L19"/>
  <c r="R19"/>
  <c r="S19"/>
  <c r="B20"/>
  <c r="H20"/>
  <c r="I20"/>
  <c r="J20"/>
  <c r="K20"/>
  <c r="M20" s="1"/>
  <c r="R20"/>
  <c r="S20"/>
  <c r="B21"/>
  <c r="H21"/>
  <c r="I21"/>
  <c r="J21"/>
  <c r="K21"/>
  <c r="L21"/>
  <c r="R21"/>
  <c r="S21"/>
  <c r="B22"/>
  <c r="J22"/>
  <c r="L22" s="1"/>
  <c r="K22"/>
  <c r="M22" s="1"/>
  <c r="R22"/>
  <c r="S22"/>
  <c r="B23"/>
  <c r="H23"/>
  <c r="I23"/>
  <c r="J23"/>
  <c r="K23"/>
  <c r="L23"/>
  <c r="R23"/>
  <c r="S23"/>
  <c r="B24"/>
  <c r="H24"/>
  <c r="I24"/>
  <c r="J24"/>
  <c r="K24"/>
  <c r="M24" s="1"/>
  <c r="R24"/>
  <c r="S24"/>
  <c r="B25"/>
  <c r="H25"/>
  <c r="I25"/>
  <c r="J25"/>
  <c r="K25"/>
  <c r="L25"/>
  <c r="R25"/>
  <c r="S25"/>
  <c r="B26"/>
  <c r="H26"/>
  <c r="I26"/>
  <c r="J26"/>
  <c r="K26"/>
  <c r="M26" s="1"/>
  <c r="R26"/>
  <c r="S26"/>
  <c r="H27"/>
  <c r="I27"/>
  <c r="J27"/>
  <c r="K27"/>
  <c r="R27"/>
  <c r="S27"/>
  <c r="B28"/>
  <c r="H28"/>
  <c r="I28"/>
  <c r="J28"/>
  <c r="K28"/>
  <c r="L28"/>
  <c r="R28"/>
  <c r="S28"/>
  <c r="H29"/>
  <c r="I29"/>
  <c r="J29"/>
  <c r="K29"/>
  <c r="L29"/>
  <c r="R29"/>
  <c r="S29"/>
  <c r="H30"/>
  <c r="I30"/>
  <c r="J30"/>
  <c r="K30"/>
  <c r="L30"/>
  <c r="R30"/>
  <c r="S30"/>
  <c r="B31"/>
  <c r="H31"/>
  <c r="I31"/>
  <c r="J31"/>
  <c r="K31"/>
  <c r="R31"/>
  <c r="S31"/>
  <c r="B32"/>
  <c r="H32"/>
  <c r="I32"/>
  <c r="J32"/>
  <c r="K32"/>
  <c r="L32"/>
  <c r="R32"/>
  <c r="S32"/>
  <c r="B33"/>
  <c r="H33"/>
  <c r="I33"/>
  <c r="J33"/>
  <c r="K33"/>
  <c r="R33"/>
  <c r="S33"/>
  <c r="B34"/>
  <c r="H34"/>
  <c r="I34"/>
  <c r="J34"/>
  <c r="K34"/>
  <c r="L34"/>
  <c r="R34"/>
  <c r="S34"/>
  <c r="B35"/>
  <c r="H35"/>
  <c r="I35"/>
  <c r="J35"/>
  <c r="K35"/>
  <c r="R35"/>
  <c r="S35"/>
  <c r="B36"/>
  <c r="H36"/>
  <c r="I36"/>
  <c r="J36"/>
  <c r="K36"/>
  <c r="L36"/>
  <c r="R36"/>
  <c r="S36"/>
  <c r="B37"/>
  <c r="H37"/>
  <c r="I37"/>
  <c r="J37"/>
  <c r="K37"/>
  <c r="R37"/>
  <c r="S37"/>
  <c r="B38"/>
  <c r="H38"/>
  <c r="I38"/>
  <c r="J38"/>
  <c r="K38"/>
  <c r="L38"/>
  <c r="R38"/>
  <c r="S38"/>
  <c r="B39"/>
  <c r="H39"/>
  <c r="I39"/>
  <c r="J39"/>
  <c r="K39"/>
  <c r="R39"/>
  <c r="S39"/>
  <c r="B40"/>
  <c r="H40"/>
  <c r="I40"/>
  <c r="J40"/>
  <c r="K40"/>
  <c r="L40"/>
  <c r="R40"/>
  <c r="S40"/>
  <c r="B41"/>
  <c r="H41"/>
  <c r="I41"/>
  <c r="J41"/>
  <c r="K41"/>
  <c r="R41"/>
  <c r="S41"/>
  <c r="B42"/>
  <c r="H42"/>
  <c r="I42"/>
  <c r="J42"/>
  <c r="K42"/>
  <c r="L42"/>
  <c r="R42"/>
  <c r="S42"/>
  <c r="B43"/>
  <c r="H43"/>
  <c r="I43"/>
  <c r="J43"/>
  <c r="K43"/>
  <c r="R43"/>
  <c r="S43"/>
  <c r="B44"/>
  <c r="H44"/>
  <c r="I44"/>
  <c r="J44"/>
  <c r="K44"/>
  <c r="L44"/>
  <c r="R44"/>
  <c r="S44"/>
  <c r="B45"/>
  <c r="H45"/>
  <c r="I45"/>
  <c r="J45"/>
  <c r="K45"/>
  <c r="R45"/>
  <c r="S45"/>
  <c r="B46"/>
  <c r="H46"/>
  <c r="I46"/>
  <c r="J46"/>
  <c r="K46"/>
  <c r="L46"/>
  <c r="R46"/>
  <c r="S46"/>
  <c r="B47"/>
  <c r="H47"/>
  <c r="I47"/>
  <c r="J47"/>
  <c r="K47"/>
  <c r="R47"/>
  <c r="S47"/>
  <c r="B48"/>
  <c r="H48"/>
  <c r="I48"/>
  <c r="J48"/>
  <c r="K48"/>
  <c r="L48"/>
  <c r="R48"/>
  <c r="S48"/>
  <c r="B49"/>
  <c r="H49"/>
  <c r="I49"/>
  <c r="J49"/>
  <c r="K49"/>
  <c r="R49"/>
  <c r="S49"/>
  <c r="B50"/>
  <c r="H50"/>
  <c r="I50"/>
  <c r="J50"/>
  <c r="K50"/>
  <c r="L50"/>
  <c r="R50"/>
  <c r="S50"/>
  <c r="B51"/>
  <c r="H51"/>
  <c r="I51"/>
  <c r="J51"/>
  <c r="K51"/>
  <c r="R51"/>
  <c r="S51"/>
  <c r="B52"/>
  <c r="H52"/>
  <c r="I52"/>
  <c r="J52"/>
  <c r="K52"/>
  <c r="L52"/>
  <c r="R52"/>
  <c r="S52"/>
  <c r="B53"/>
  <c r="H53"/>
  <c r="I53"/>
  <c r="J53"/>
  <c r="K53"/>
  <c r="R53"/>
  <c r="S53"/>
  <c r="B54"/>
  <c r="H54"/>
  <c r="I54"/>
  <c r="J54"/>
  <c r="K54"/>
  <c r="L54"/>
  <c r="R54"/>
  <c r="S54"/>
  <c r="B55"/>
  <c r="H55"/>
  <c r="I55"/>
  <c r="J55"/>
  <c r="K55"/>
  <c r="R55"/>
  <c r="S55"/>
  <c r="B56"/>
  <c r="H56"/>
  <c r="I56"/>
  <c r="J56"/>
  <c r="K56"/>
  <c r="L56"/>
  <c r="R56"/>
  <c r="S56"/>
  <c r="B57"/>
  <c r="H57"/>
  <c r="I57"/>
  <c r="J57"/>
  <c r="K57"/>
  <c r="R57"/>
  <c r="S57"/>
  <c r="B58"/>
  <c r="H58"/>
  <c r="I58"/>
  <c r="J58"/>
  <c r="K58"/>
  <c r="L58"/>
  <c r="R58"/>
  <c r="S58"/>
  <c r="B59"/>
  <c r="J59"/>
  <c r="L59" s="1"/>
  <c r="K59"/>
  <c r="R59"/>
  <c r="S59"/>
  <c r="B60"/>
  <c r="H60"/>
  <c r="I60"/>
  <c r="J60"/>
  <c r="K60"/>
  <c r="L60"/>
  <c r="R60"/>
  <c r="S60"/>
  <c r="B61"/>
  <c r="H61"/>
  <c r="I61"/>
  <c r="J61"/>
  <c r="K61"/>
  <c r="R61"/>
  <c r="S61"/>
  <c r="B62"/>
  <c r="H62"/>
  <c r="I62"/>
  <c r="J62"/>
  <c r="K62"/>
  <c r="L62"/>
  <c r="R62"/>
  <c r="S62"/>
  <c r="B63"/>
  <c r="H63"/>
  <c r="I63"/>
  <c r="J63"/>
  <c r="K63"/>
  <c r="R63"/>
  <c r="S63"/>
  <c r="B64"/>
  <c r="H64"/>
  <c r="I64"/>
  <c r="J64"/>
  <c r="K64"/>
  <c r="L64"/>
  <c r="R64"/>
  <c r="S64"/>
  <c r="B65"/>
  <c r="J65"/>
  <c r="L65" s="1"/>
  <c r="K65"/>
  <c r="R65"/>
  <c r="S65"/>
  <c r="B66"/>
  <c r="H66"/>
  <c r="I66"/>
  <c r="J66"/>
  <c r="K66"/>
  <c r="L66"/>
  <c r="R66"/>
  <c r="S66"/>
  <c r="B67"/>
  <c r="H67"/>
  <c r="I67"/>
  <c r="J67"/>
  <c r="K67"/>
  <c r="M67" s="1"/>
  <c r="R67"/>
  <c r="S67"/>
  <c r="B68"/>
  <c r="H68"/>
  <c r="I68"/>
  <c r="J68"/>
  <c r="K68"/>
  <c r="L68"/>
  <c r="R68"/>
  <c r="S68"/>
  <c r="H69"/>
  <c r="I69"/>
  <c r="J69"/>
  <c r="K69"/>
  <c r="L69"/>
  <c r="R69"/>
  <c r="S69"/>
  <c r="B70"/>
  <c r="H70"/>
  <c r="I70"/>
  <c r="J70"/>
  <c r="K70"/>
  <c r="R70"/>
  <c r="S70"/>
  <c r="B71"/>
  <c r="H71"/>
  <c r="I71"/>
  <c r="J71"/>
  <c r="K71"/>
  <c r="L71"/>
  <c r="R71"/>
  <c r="S71"/>
  <c r="B72"/>
  <c r="H72"/>
  <c r="I72"/>
  <c r="J72"/>
  <c r="K72"/>
  <c r="R72"/>
  <c r="S72"/>
  <c r="B73"/>
  <c r="H73"/>
  <c r="I73"/>
  <c r="J73"/>
  <c r="K73"/>
  <c r="L73"/>
  <c r="R73"/>
  <c r="S73"/>
  <c r="B74"/>
  <c r="H74"/>
  <c r="I74"/>
  <c r="J74"/>
  <c r="K74"/>
  <c r="R74"/>
  <c r="S74"/>
  <c r="B75"/>
  <c r="H75"/>
  <c r="I75"/>
  <c r="J75"/>
  <c r="K75"/>
  <c r="L75"/>
  <c r="R75"/>
  <c r="S75"/>
  <c r="H76"/>
  <c r="I76"/>
  <c r="J76"/>
  <c r="K76"/>
  <c r="L76"/>
  <c r="R76"/>
  <c r="S76"/>
  <c r="B77"/>
  <c r="H77"/>
  <c r="I77"/>
  <c r="J77"/>
  <c r="K77"/>
  <c r="R77"/>
  <c r="S77"/>
  <c r="B78"/>
  <c r="H78"/>
  <c r="I78"/>
  <c r="J78"/>
  <c r="K78"/>
  <c r="L78"/>
  <c r="R78"/>
  <c r="S78"/>
  <c r="B79"/>
  <c r="H79"/>
  <c r="I79"/>
  <c r="J79"/>
  <c r="K79"/>
  <c r="R79"/>
  <c r="S79"/>
  <c r="B80"/>
  <c r="H80"/>
  <c r="I80"/>
  <c r="J80"/>
  <c r="K80"/>
  <c r="L80"/>
  <c r="R80"/>
  <c r="S80"/>
  <c r="B81"/>
  <c r="H81"/>
  <c r="I81"/>
  <c r="J81"/>
  <c r="K81"/>
  <c r="R81"/>
  <c r="S81"/>
  <c r="B82"/>
  <c r="H82"/>
  <c r="I82"/>
  <c r="J82"/>
  <c r="K82"/>
  <c r="L82"/>
  <c r="R82"/>
  <c r="S82"/>
  <c r="B83"/>
  <c r="H83"/>
  <c r="I83"/>
  <c r="J83"/>
  <c r="K83"/>
  <c r="R83"/>
  <c r="S83"/>
  <c r="B84"/>
  <c r="H84"/>
  <c r="I84"/>
  <c r="J84"/>
  <c r="K84"/>
  <c r="L84"/>
  <c r="R84"/>
  <c r="S84"/>
  <c r="B85"/>
  <c r="H85"/>
  <c r="I85"/>
  <c r="J85"/>
  <c r="K85"/>
  <c r="R85"/>
  <c r="S85"/>
  <c r="B86"/>
  <c r="H86"/>
  <c r="I86"/>
  <c r="J86"/>
  <c r="K86"/>
  <c r="M86" s="1"/>
  <c r="R86"/>
  <c r="S86"/>
  <c r="B87"/>
  <c r="H87"/>
  <c r="I87"/>
  <c r="J87"/>
  <c r="K87"/>
  <c r="L87"/>
  <c r="R87"/>
  <c r="S87"/>
  <c r="B88"/>
  <c r="H88"/>
  <c r="I88"/>
  <c r="J88"/>
  <c r="K88"/>
  <c r="M88" s="1"/>
  <c r="R88"/>
  <c r="S88"/>
  <c r="B89"/>
  <c r="H89"/>
  <c r="I89"/>
  <c r="J89"/>
  <c r="K89"/>
  <c r="L89"/>
  <c r="R89"/>
  <c r="S89"/>
  <c r="B90"/>
  <c r="H90"/>
  <c r="I90"/>
  <c r="J90"/>
  <c r="K90"/>
  <c r="M90" s="1"/>
  <c r="R90"/>
  <c r="S90"/>
  <c r="B91"/>
  <c r="H91"/>
  <c r="I91"/>
  <c r="J91"/>
  <c r="K91"/>
  <c r="L91"/>
  <c r="R91"/>
  <c r="S91"/>
  <c r="B92"/>
  <c r="H92"/>
  <c r="I92"/>
  <c r="J92"/>
  <c r="K92"/>
  <c r="M92" s="1"/>
  <c r="R92"/>
  <c r="S92"/>
  <c r="B93"/>
  <c r="H93"/>
  <c r="I93"/>
  <c r="J93"/>
  <c r="K93"/>
  <c r="L93"/>
  <c r="R93"/>
  <c r="S93"/>
  <c r="B94"/>
  <c r="H94"/>
  <c r="I94"/>
  <c r="J94"/>
  <c r="K94"/>
  <c r="M94" s="1"/>
  <c r="R94"/>
  <c r="S94"/>
  <c r="B95"/>
  <c r="K95" s="1"/>
  <c r="H95"/>
  <c r="I95"/>
  <c r="J95"/>
  <c r="L95" s="1"/>
  <c r="J96"/>
  <c r="J97"/>
  <c r="J98"/>
  <c r="J99"/>
  <c r="J100"/>
  <c r="J101"/>
  <c r="J102"/>
  <c r="J103"/>
  <c r="R95"/>
  <c r="S95"/>
  <c r="B96"/>
  <c r="K96" s="1"/>
  <c r="H96"/>
  <c r="I96"/>
  <c r="R96"/>
  <c r="S96"/>
  <c r="B97"/>
  <c r="K97" s="1"/>
  <c r="H97"/>
  <c r="I97"/>
  <c r="M97" s="1"/>
  <c r="R97"/>
  <c r="S97"/>
  <c r="B98"/>
  <c r="K98" s="1"/>
  <c r="H98"/>
  <c r="I98"/>
  <c r="R98"/>
  <c r="S98"/>
  <c r="B99"/>
  <c r="K99" s="1"/>
  <c r="H99"/>
  <c r="I99"/>
  <c r="M99" s="1"/>
  <c r="R99"/>
  <c r="S99"/>
  <c r="B100"/>
  <c r="K100" s="1"/>
  <c r="N100" s="1"/>
  <c r="H100"/>
  <c r="I100"/>
  <c r="R100"/>
  <c r="S100"/>
  <c r="B101"/>
  <c r="K101" s="1"/>
  <c r="N101" s="1"/>
  <c r="H101"/>
  <c r="I101"/>
  <c r="M101" s="1"/>
  <c r="R101"/>
  <c r="S101"/>
  <c r="B102"/>
  <c r="K102" s="1"/>
  <c r="H102"/>
  <c r="I102"/>
  <c r="R102"/>
  <c r="S102"/>
  <c r="B103"/>
  <c r="K103" s="1"/>
  <c r="N103" s="1"/>
  <c r="H103"/>
  <c r="I103"/>
  <c r="M103" s="1"/>
  <c r="R103"/>
  <c r="S103"/>
  <c r="J104"/>
  <c r="K104"/>
  <c r="R104"/>
  <c r="S104"/>
  <c r="D105"/>
  <c r="E105"/>
  <c r="E106" s="1"/>
  <c r="F105"/>
  <c r="G105"/>
  <c r="R105"/>
  <c r="G106"/>
  <c r="D53" i="4"/>
  <c r="E53"/>
  <c r="D54"/>
  <c r="E54"/>
  <c r="D55"/>
  <c r="E55"/>
  <c r="D56"/>
  <c r="E56"/>
  <c r="D57"/>
  <c r="E57"/>
  <c r="E61"/>
  <c r="D62"/>
  <c r="E62" s="1"/>
  <c r="E63" s="1"/>
  <c r="E64" s="1"/>
  <c r="A1" i="37"/>
  <c r="I2"/>
  <c r="A3"/>
  <c r="I3"/>
  <c r="I8"/>
  <c r="J8"/>
  <c r="C9"/>
  <c r="E9"/>
  <c r="E40" s="1"/>
  <c r="E76" s="1"/>
  <c r="F9"/>
  <c r="G9"/>
  <c r="H9"/>
  <c r="D12"/>
  <c r="D9" s="1"/>
  <c r="I9" s="1"/>
  <c r="D13"/>
  <c r="C15"/>
  <c r="D15"/>
  <c r="I15" s="1"/>
  <c r="E15"/>
  <c r="F15"/>
  <c r="G15"/>
  <c r="H15"/>
  <c r="C21"/>
  <c r="D21"/>
  <c r="E21"/>
  <c r="F21"/>
  <c r="I27"/>
  <c r="C28"/>
  <c r="D28"/>
  <c r="E28"/>
  <c r="F28"/>
  <c r="C34"/>
  <c r="D34"/>
  <c r="E34"/>
  <c r="F34"/>
  <c r="F40" s="1"/>
  <c r="I42"/>
  <c r="J42" s="1"/>
  <c r="C43"/>
  <c r="E43"/>
  <c r="F43"/>
  <c r="D44"/>
  <c r="D43" s="1"/>
  <c r="C49"/>
  <c r="C73" s="1"/>
  <c r="D49"/>
  <c r="E49"/>
  <c r="F49"/>
  <c r="G49"/>
  <c r="G73" s="1"/>
  <c r="H49"/>
  <c r="I55"/>
  <c r="C61"/>
  <c r="D61"/>
  <c r="E61"/>
  <c r="F61"/>
  <c r="G61"/>
  <c r="H61"/>
  <c r="C67"/>
  <c r="D67"/>
  <c r="E67"/>
  <c r="F67"/>
  <c r="I67" s="1"/>
  <c r="E73"/>
  <c r="C75"/>
  <c r="D75"/>
  <c r="E75"/>
  <c r="F75"/>
  <c r="G75"/>
  <c r="H75"/>
  <c r="I75"/>
  <c r="J75" s="1"/>
  <c r="I81"/>
  <c r="J81"/>
  <c r="I82"/>
  <c r="I83"/>
  <c r="I84"/>
  <c r="I85"/>
  <c r="I86"/>
  <c r="C87"/>
  <c r="C98" s="1"/>
  <c r="D87"/>
  <c r="E87"/>
  <c r="F87"/>
  <c r="G87"/>
  <c r="H87"/>
  <c r="H98" s="1"/>
  <c r="I89"/>
  <c r="J89" s="1"/>
  <c r="I90"/>
  <c r="I91"/>
  <c r="I92"/>
  <c r="I93"/>
  <c r="I94"/>
  <c r="C95"/>
  <c r="D95"/>
  <c r="D98" s="1"/>
  <c r="E95"/>
  <c r="E98" s="1"/>
  <c r="F95"/>
  <c r="G95"/>
  <c r="H95"/>
  <c r="C97"/>
  <c r="D97"/>
  <c r="E97"/>
  <c r="F97"/>
  <c r="G97"/>
  <c r="H97"/>
  <c r="I97"/>
  <c r="J97" s="1"/>
  <c r="G98"/>
  <c r="O101" i="1"/>
  <c r="O14" i="36"/>
  <c r="O111" i="1"/>
  <c r="J189" i="30"/>
  <c r="H202"/>
  <c r="J202" s="1"/>
  <c r="P5" i="1"/>
  <c r="T75"/>
  <c r="T119" s="1"/>
  <c r="R75"/>
  <c r="R119" s="1"/>
  <c r="L134" i="29"/>
  <c r="Z60" i="1"/>
  <c r="H48"/>
  <c r="H44"/>
  <c r="H37" s="1"/>
  <c r="H38"/>
  <c r="J182" i="30"/>
  <c r="Z16" i="1"/>
  <c r="H269" i="30"/>
  <c r="K40" i="40"/>
  <c r="M33"/>
  <c r="H270" i="30" s="1"/>
  <c r="N234" i="11"/>
  <c r="J188"/>
  <c r="N188" s="1"/>
  <c r="N75" i="1"/>
  <c r="H11"/>
  <c r="H70" s="1"/>
  <c r="L234" i="11"/>
  <c r="L76" i="1"/>
  <c r="Z61"/>
  <c r="O61"/>
  <c r="Z47"/>
  <c r="Z18"/>
  <c r="O18"/>
  <c r="J265" i="30"/>
  <c r="A2"/>
  <c r="A2" i="24"/>
  <c r="G43" i="41"/>
  <c r="G45" s="1"/>
  <c r="K45" s="1"/>
  <c r="N320" i="11"/>
  <c r="N222"/>
  <c r="I37" i="24"/>
  <c r="J37" s="1"/>
  <c r="J25"/>
  <c r="L517" i="29"/>
  <c r="L460"/>
  <c r="O153" i="30"/>
  <c r="L231"/>
  <c r="L232" s="1"/>
  <c r="J226"/>
  <c r="H237"/>
  <c r="H235" s="1"/>
  <c r="L19" i="1"/>
  <c r="P7"/>
  <c r="A1" i="29"/>
  <c r="A1" i="27"/>
  <c r="A2" i="11"/>
  <c r="J15" i="24"/>
  <c r="L29" i="29"/>
  <c r="L105" i="30"/>
  <c r="J32"/>
  <c r="J38" s="1"/>
  <c r="J37" s="1"/>
  <c r="F28" i="27"/>
  <c r="B28"/>
  <c r="C27"/>
  <c r="C28" s="1"/>
  <c r="J183" i="30"/>
  <c r="Q6" i="1"/>
  <c r="I21" i="27"/>
  <c r="I27" s="1"/>
  <c r="I28" s="1"/>
  <c r="L11" i="1"/>
  <c r="H264" i="30" s="1"/>
  <c r="K21" i="27"/>
  <c r="L99" i="36" l="1"/>
  <c r="L97"/>
  <c r="N63"/>
  <c r="N59"/>
  <c r="F66" i="10"/>
  <c r="D73" i="37"/>
  <c r="I43"/>
  <c r="H120" i="1"/>
  <c r="T120"/>
  <c r="L317" i="11"/>
  <c r="H429"/>
  <c r="L429" s="1"/>
  <c r="M34" i="40"/>
  <c r="I95" i="37"/>
  <c r="J95" s="1"/>
  <c r="I61"/>
  <c r="H73"/>
  <c r="I49"/>
  <c r="F73"/>
  <c r="I34"/>
  <c r="I21"/>
  <c r="G40"/>
  <c r="G76" s="1"/>
  <c r="C40"/>
  <c r="C76" s="1"/>
  <c r="H40"/>
  <c r="M98" i="36"/>
  <c r="M96"/>
  <c r="N85"/>
  <c r="N55"/>
  <c r="N51"/>
  <c r="N47"/>
  <c r="N43"/>
  <c r="N39"/>
  <c r="N35"/>
  <c r="N31"/>
  <c r="N29"/>
  <c r="O10"/>
  <c r="O9"/>
  <c r="P89" i="1"/>
  <c r="P76"/>
  <c r="S75"/>
  <c r="S44"/>
  <c r="S37" s="1"/>
  <c r="N44"/>
  <c r="N37" s="1"/>
  <c r="R11"/>
  <c r="R70" s="1"/>
  <c r="R120" s="1"/>
  <c r="I30" i="40"/>
  <c r="I33" s="1"/>
  <c r="I34" s="1"/>
  <c r="O30"/>
  <c r="N37" i="41"/>
  <c r="J392" i="11"/>
  <c r="N392" s="1"/>
  <c r="N245"/>
  <c r="L210"/>
  <c r="L188"/>
  <c r="H48" i="24"/>
  <c r="D48"/>
  <c r="I18"/>
  <c r="I23" s="1"/>
  <c r="J517" i="29"/>
  <c r="N517" s="1"/>
  <c r="J149"/>
  <c r="J167" s="1"/>
  <c r="N167" s="1"/>
  <c r="J76"/>
  <c r="H86" i="30"/>
  <c r="L86" s="1"/>
  <c r="H74"/>
  <c r="L74" s="1"/>
  <c r="H63"/>
  <c r="N63" s="1"/>
  <c r="F98" i="37"/>
  <c r="I87"/>
  <c r="I28"/>
  <c r="H105" i="36"/>
  <c r="F68" i="10"/>
  <c r="G67"/>
  <c r="G65"/>
  <c r="D104"/>
  <c r="P101" i="1"/>
  <c r="P100" s="1"/>
  <c r="N100"/>
  <c r="N119" s="1"/>
  <c r="J259" i="30" s="1"/>
  <c r="J260" s="1"/>
  <c r="L146" i="29"/>
  <c r="Z46" i="1"/>
  <c r="U44"/>
  <c r="U37" s="1"/>
  <c r="Q44"/>
  <c r="Q37" s="1"/>
  <c r="P31"/>
  <c r="P27"/>
  <c r="P19"/>
  <c r="S11"/>
  <c r="S70" s="1"/>
  <c r="U11"/>
  <c r="Q11"/>
  <c r="R3"/>
  <c r="G46" i="33"/>
  <c r="G49" s="1"/>
  <c r="H49" s="1"/>
  <c r="K30" i="40"/>
  <c r="K33" s="1"/>
  <c r="K34" s="1"/>
  <c r="J317" i="11"/>
  <c r="H149" i="29"/>
  <c r="H167" s="1"/>
  <c r="L167" s="1"/>
  <c r="J66"/>
  <c r="H18"/>
  <c r="J74" i="30"/>
  <c r="N74" s="1"/>
  <c r="N96" i="36"/>
  <c r="L100"/>
  <c r="L98"/>
  <c r="N83"/>
  <c r="N79"/>
  <c r="N72"/>
  <c r="N12"/>
  <c r="O7"/>
  <c r="F15" i="10"/>
  <c r="F13"/>
  <c r="F11"/>
  <c r="F9"/>
  <c r="F7"/>
  <c r="A1" i="24"/>
  <c r="A1" i="30"/>
  <c r="A2" i="29"/>
  <c r="A2" i="27"/>
  <c r="O12" i="36"/>
  <c r="O104"/>
  <c r="L102"/>
  <c r="M100"/>
  <c r="N102"/>
  <c r="N98"/>
  <c r="N93"/>
  <c r="N91"/>
  <c r="N89"/>
  <c r="N87"/>
  <c r="M85"/>
  <c r="N84"/>
  <c r="M83"/>
  <c r="N81"/>
  <c r="N77"/>
  <c r="N75"/>
  <c r="N74"/>
  <c r="N70"/>
  <c r="N68"/>
  <c r="N66"/>
  <c r="N65"/>
  <c r="N61"/>
  <c r="N57"/>
  <c r="N53"/>
  <c r="N49"/>
  <c r="N45"/>
  <c r="N41"/>
  <c r="N37"/>
  <c r="N33"/>
  <c r="N27"/>
  <c r="N25"/>
  <c r="N23"/>
  <c r="N21"/>
  <c r="N19"/>
  <c r="N17"/>
  <c r="N15"/>
  <c r="M12"/>
  <c r="N11"/>
  <c r="M9"/>
  <c r="O8"/>
  <c r="M7"/>
  <c r="B1" i="8"/>
  <c r="A1" i="10" s="1"/>
  <c r="F102"/>
  <c r="F100"/>
  <c r="F98"/>
  <c r="F96"/>
  <c r="F94"/>
  <c r="F92"/>
  <c r="F90"/>
  <c r="F88"/>
  <c r="F86"/>
  <c r="F84"/>
  <c r="F82"/>
  <c r="F80"/>
  <c r="F78"/>
  <c r="F76"/>
  <c r="F35"/>
  <c r="F33"/>
  <c r="F31"/>
  <c r="F29"/>
  <c r="F28"/>
  <c r="F25"/>
  <c r="F23"/>
  <c r="F21"/>
  <c r="F19"/>
  <c r="F17"/>
  <c r="F16"/>
  <c r="G15"/>
  <c r="G13"/>
  <c r="G11"/>
  <c r="G9"/>
  <c r="G7"/>
  <c r="M65" i="36"/>
  <c r="N64"/>
  <c r="M63"/>
  <c r="N62"/>
  <c r="M61"/>
  <c r="N60"/>
  <c r="M59"/>
  <c r="N58"/>
  <c r="M57"/>
  <c r="N56"/>
  <c r="M55"/>
  <c r="N54"/>
  <c r="M53"/>
  <c r="N52"/>
  <c r="M51"/>
  <c r="N50"/>
  <c r="M49"/>
  <c r="N48"/>
  <c r="M47"/>
  <c r="N46"/>
  <c r="M45"/>
  <c r="N44"/>
  <c r="M43"/>
  <c r="N42"/>
  <c r="M41"/>
  <c r="N40"/>
  <c r="M39"/>
  <c r="N38"/>
  <c r="M37"/>
  <c r="N36"/>
  <c r="M35"/>
  <c r="N34"/>
  <c r="M33"/>
  <c r="N32"/>
  <c r="M31"/>
  <c r="N30"/>
  <c r="N28"/>
  <c r="M27"/>
  <c r="N26"/>
  <c r="N24"/>
  <c r="N22"/>
  <c r="N20"/>
  <c r="N18"/>
  <c r="N16"/>
  <c r="O13"/>
  <c r="O11"/>
  <c r="N10"/>
  <c r="N9"/>
  <c r="N8"/>
  <c r="N7"/>
  <c r="E104" i="10"/>
  <c r="D105" s="1"/>
  <c r="G101"/>
  <c r="G99"/>
  <c r="G97"/>
  <c r="G95"/>
  <c r="G93"/>
  <c r="G91"/>
  <c r="G89"/>
  <c r="G87"/>
  <c r="G85"/>
  <c r="G83"/>
  <c r="G81"/>
  <c r="G79"/>
  <c r="G77"/>
  <c r="G75"/>
  <c r="G73"/>
  <c r="G71"/>
  <c r="G69"/>
  <c r="J105" i="36"/>
  <c r="S105"/>
  <c r="L103"/>
  <c r="M102"/>
  <c r="L101"/>
  <c r="N99"/>
  <c r="N97"/>
  <c r="N94"/>
  <c r="N92"/>
  <c r="N90"/>
  <c r="N88"/>
  <c r="N86"/>
  <c r="O84"/>
  <c r="N82"/>
  <c r="M81"/>
  <c r="N80"/>
  <c r="M79"/>
  <c r="N78"/>
  <c r="M77"/>
  <c r="N76"/>
  <c r="N73"/>
  <c r="M72"/>
  <c r="N71"/>
  <c r="M70"/>
  <c r="N69"/>
  <c r="N67"/>
  <c r="G37" i="10"/>
  <c r="G35"/>
  <c r="G33"/>
  <c r="G31"/>
  <c r="G29"/>
  <c r="G27"/>
  <c r="G25"/>
  <c r="G23"/>
  <c r="G21"/>
  <c r="G19"/>
  <c r="G17"/>
  <c r="N20" i="30"/>
  <c r="H32"/>
  <c r="H38" s="1"/>
  <c r="H37" s="1"/>
  <c r="O101" i="36"/>
  <c r="O97"/>
  <c r="L85"/>
  <c r="M84"/>
  <c r="O102"/>
  <c r="O100"/>
  <c r="O98"/>
  <c r="O96"/>
  <c r="O94"/>
  <c r="L94"/>
  <c r="O93"/>
  <c r="M93"/>
  <c r="O92"/>
  <c r="L92"/>
  <c r="O91"/>
  <c r="M91"/>
  <c r="O90"/>
  <c r="L90"/>
  <c r="O89"/>
  <c r="M89"/>
  <c r="O88"/>
  <c r="L88"/>
  <c r="O87"/>
  <c r="M87"/>
  <c r="O86"/>
  <c r="L86"/>
  <c r="M74"/>
  <c r="O83"/>
  <c r="L83"/>
  <c r="O82"/>
  <c r="M82"/>
  <c r="O81"/>
  <c r="L81"/>
  <c r="O80"/>
  <c r="M80"/>
  <c r="O79"/>
  <c r="L79"/>
  <c r="O78"/>
  <c r="M78"/>
  <c r="O77"/>
  <c r="L77"/>
  <c r="O76"/>
  <c r="M76"/>
  <c r="O75"/>
  <c r="M75"/>
  <c r="O74"/>
  <c r="L74"/>
  <c r="O73"/>
  <c r="M73"/>
  <c r="O72"/>
  <c r="L72"/>
  <c r="O71"/>
  <c r="M71"/>
  <c r="O70"/>
  <c r="L70"/>
  <c r="O69"/>
  <c r="M69"/>
  <c r="O68"/>
  <c r="M68"/>
  <c r="O67"/>
  <c r="L67"/>
  <c r="O66"/>
  <c r="M66"/>
  <c r="O64"/>
  <c r="M64"/>
  <c r="O63"/>
  <c r="L63"/>
  <c r="O62"/>
  <c r="M62"/>
  <c r="O61"/>
  <c r="L61"/>
  <c r="O60"/>
  <c r="M60"/>
  <c r="O58"/>
  <c r="M58"/>
  <c r="O57"/>
  <c r="L57"/>
  <c r="O56"/>
  <c r="M56"/>
  <c r="O55"/>
  <c r="L55"/>
  <c r="O54"/>
  <c r="M54"/>
  <c r="O53"/>
  <c r="L53"/>
  <c r="O52"/>
  <c r="M52"/>
  <c r="O51"/>
  <c r="L51"/>
  <c r="O50"/>
  <c r="M50"/>
  <c r="O49"/>
  <c r="L49"/>
  <c r="O48"/>
  <c r="M48"/>
  <c r="O47"/>
  <c r="L47"/>
  <c r="O46"/>
  <c r="M46"/>
  <c r="O45"/>
  <c r="L45"/>
  <c r="O44"/>
  <c r="M44"/>
  <c r="O43"/>
  <c r="L43"/>
  <c r="O42"/>
  <c r="M42"/>
  <c r="O41"/>
  <c r="L41"/>
  <c r="O40"/>
  <c r="M40"/>
  <c r="O39"/>
  <c r="L39"/>
  <c r="O38"/>
  <c r="M38"/>
  <c r="O37"/>
  <c r="L37"/>
  <c r="O36"/>
  <c r="M36"/>
  <c r="O35"/>
  <c r="L35"/>
  <c r="O34"/>
  <c r="M34"/>
  <c r="O33"/>
  <c r="L33"/>
  <c r="O32"/>
  <c r="M32"/>
  <c r="O31"/>
  <c r="L31"/>
  <c r="O30"/>
  <c r="M30"/>
  <c r="O29"/>
  <c r="M29"/>
  <c r="O28"/>
  <c r="M28"/>
  <c r="O27"/>
  <c r="L27"/>
  <c r="O26"/>
  <c r="L26"/>
  <c r="O25"/>
  <c r="M25"/>
  <c r="O24"/>
  <c r="L24"/>
  <c r="O23"/>
  <c r="M23"/>
  <c r="O21"/>
  <c r="O20"/>
  <c r="O19"/>
  <c r="O18"/>
  <c r="O17"/>
  <c r="O16"/>
  <c r="O15"/>
  <c r="N14"/>
  <c r="G102" i="10"/>
  <c r="G100"/>
  <c r="G98"/>
  <c r="G96"/>
  <c r="G94"/>
  <c r="G92"/>
  <c r="G90"/>
  <c r="G88"/>
  <c r="G86"/>
  <c r="G84"/>
  <c r="G82"/>
  <c r="G80"/>
  <c r="G78"/>
  <c r="G76"/>
  <c r="G74"/>
  <c r="F73"/>
  <c r="G72"/>
  <c r="F71"/>
  <c r="G70"/>
  <c r="F69"/>
  <c r="G68"/>
  <c r="G66"/>
  <c r="G64"/>
  <c r="G62"/>
  <c r="G60"/>
  <c r="G58"/>
  <c r="G56"/>
  <c r="G54"/>
  <c r="G52"/>
  <c r="G50"/>
  <c r="G48"/>
  <c r="G46"/>
  <c r="G44"/>
  <c r="G42"/>
  <c r="G40"/>
  <c r="G38"/>
  <c r="G36"/>
  <c r="G34"/>
  <c r="G32"/>
  <c r="G30"/>
  <c r="G28"/>
  <c r="F27"/>
  <c r="G26"/>
  <c r="G24"/>
  <c r="G22"/>
  <c r="G20"/>
  <c r="G18"/>
  <c r="G16"/>
  <c r="G14"/>
  <c r="G12"/>
  <c r="G10"/>
  <c r="G8"/>
  <c r="J235" i="30"/>
  <c r="O95" i="36"/>
  <c r="N95"/>
  <c r="M95"/>
  <c r="F76" i="37"/>
  <c r="H265" i="30"/>
  <c r="O76" i="1"/>
  <c r="H183" i="30"/>
  <c r="O19" i="1"/>
  <c r="L75"/>
  <c r="I40" i="37"/>
  <c r="H76"/>
  <c r="O103" i="36"/>
  <c r="O99"/>
  <c r="P1" i="1"/>
  <c r="O89"/>
  <c r="D40" i="37"/>
  <c r="D76" s="1"/>
  <c r="I73"/>
  <c r="J73" s="1"/>
  <c r="K105" i="36"/>
  <c r="I105"/>
  <c r="I106" s="1"/>
  <c r="L96"/>
  <c r="O65"/>
  <c r="O59"/>
  <c r="O22"/>
  <c r="L12"/>
  <c r="M11"/>
  <c r="M10"/>
  <c r="L9"/>
  <c r="M8"/>
  <c r="L7"/>
  <c r="U70" i="1"/>
  <c r="Q70"/>
  <c r="Q120" s="1"/>
  <c r="L13" i="36"/>
  <c r="N13"/>
  <c r="M21"/>
  <c r="L20"/>
  <c r="M19"/>
  <c r="L18"/>
  <c r="M17"/>
  <c r="M16"/>
  <c r="M15"/>
  <c r="M14"/>
  <c r="U119" i="1"/>
  <c r="U120" s="1"/>
  <c r="S119"/>
  <c r="S120" s="1"/>
  <c r="P44"/>
  <c r="P37" s="1"/>
  <c r="L45"/>
  <c r="O93"/>
  <c r="O31"/>
  <c r="N11"/>
  <c r="O11" s="1"/>
  <c r="I45" i="24"/>
  <c r="G18" i="27"/>
  <c r="H30" i="30"/>
  <c r="J18" i="29" l="1"/>
  <c r="L18" s="1"/>
  <c r="H30"/>
  <c r="J30" s="1"/>
  <c r="L30" s="1"/>
  <c r="P11" i="1"/>
  <c r="P70" s="1"/>
  <c r="N317" i="11"/>
  <c r="J429"/>
  <c r="N429" s="1"/>
  <c r="I98" i="37"/>
  <c r="J87"/>
  <c r="I26" i="24"/>
  <c r="J23"/>
  <c r="J269" i="30"/>
  <c r="O33" i="40"/>
  <c r="P75" i="1"/>
  <c r="P119" s="1"/>
  <c r="N105" i="36"/>
  <c r="G104" i="10"/>
  <c r="F104"/>
  <c r="J117" i="1"/>
  <c r="L117" s="1"/>
  <c r="J112"/>
  <c r="J111"/>
  <c r="J107"/>
  <c r="J103"/>
  <c r="J90"/>
  <c r="J83"/>
  <c r="J77"/>
  <c r="J21"/>
  <c r="J28"/>
  <c r="J33"/>
  <c r="J35"/>
  <c r="J46"/>
  <c r="J63"/>
  <c r="J15"/>
  <c r="J18"/>
  <c r="J22"/>
  <c r="J25"/>
  <c r="J40"/>
  <c r="L40" s="1"/>
  <c r="J43"/>
  <c r="L43" s="1"/>
  <c r="J52"/>
  <c r="J54"/>
  <c r="J58"/>
  <c r="L58" s="1"/>
  <c r="J61"/>
  <c r="J68"/>
  <c r="L68" s="1"/>
  <c r="J79"/>
  <c r="J116"/>
  <c r="J108"/>
  <c r="J104"/>
  <c r="J96"/>
  <c r="J93"/>
  <c r="J86"/>
  <c r="J81"/>
  <c r="J64"/>
  <c r="J109"/>
  <c r="J105"/>
  <c r="J95"/>
  <c r="J92"/>
  <c r="J85"/>
  <c r="J78"/>
  <c r="J69"/>
  <c r="J24"/>
  <c r="J29"/>
  <c r="J32"/>
  <c r="J34"/>
  <c r="J41"/>
  <c r="J62"/>
  <c r="J14"/>
  <c r="J17"/>
  <c r="J20"/>
  <c r="J23"/>
  <c r="J39"/>
  <c r="J42"/>
  <c r="L42" s="1"/>
  <c r="J47"/>
  <c r="J45" s="1"/>
  <c r="J53"/>
  <c r="J57"/>
  <c r="J82"/>
  <c r="J110"/>
  <c r="J106"/>
  <c r="J102"/>
  <c r="J94"/>
  <c r="J91"/>
  <c r="J84"/>
  <c r="J80"/>
  <c r="J67"/>
  <c r="J66" s="1"/>
  <c r="J45" i="24"/>
  <c r="I48"/>
  <c r="J48" s="1"/>
  <c r="J26"/>
  <c r="L44" i="1"/>
  <c r="O45"/>
  <c r="O75"/>
  <c r="L105" i="36"/>
  <c r="G19" i="27"/>
  <c r="K18"/>
  <c r="L18" s="1"/>
  <c r="N70" i="1"/>
  <c r="J264" i="30"/>
  <c r="O105" i="36"/>
  <c r="K106"/>
  <c r="J106"/>
  <c r="J39" i="37"/>
  <c r="I76"/>
  <c r="J76" s="1"/>
  <c r="J40"/>
  <c r="M105" i="36"/>
  <c r="J89" i="1" l="1"/>
  <c r="J101"/>
  <c r="J270" i="30"/>
  <c r="O34" i="40"/>
  <c r="Q34" s="1"/>
  <c r="J56" i="1"/>
  <c r="L57"/>
  <c r="J38"/>
  <c r="L39"/>
  <c r="O43"/>
  <c r="Z43"/>
  <c r="M106" i="36"/>
  <c r="J19" i="1"/>
  <c r="J31"/>
  <c r="J60"/>
  <c r="J16"/>
  <c r="J27"/>
  <c r="J76"/>
  <c r="J75" s="1"/>
  <c r="O42"/>
  <c r="Z42"/>
  <c r="L470" i="11"/>
  <c r="L116" i="1"/>
  <c r="J115"/>
  <c r="J100" s="1"/>
  <c r="J119" s="1"/>
  <c r="O68"/>
  <c r="J98" i="37"/>
  <c r="L66" i="1"/>
  <c r="Z68"/>
  <c r="Z58"/>
  <c r="O58"/>
  <c r="O40"/>
  <c r="Z40"/>
  <c r="O117"/>
  <c r="L56" i="30"/>
  <c r="J51" i="1"/>
  <c r="J44" s="1"/>
  <c r="J13"/>
  <c r="J11" s="1"/>
  <c r="J256" i="30"/>
  <c r="J257" s="1"/>
  <c r="J273"/>
  <c r="J263"/>
  <c r="J272"/>
  <c r="N120" i="1"/>
  <c r="J45" i="30"/>
  <c r="G27" i="27"/>
  <c r="K19"/>
  <c r="O44" i="1"/>
  <c r="J37" l="1"/>
  <c r="J70" s="1"/>
  <c r="J120" s="1"/>
  <c r="O66"/>
  <c r="Z66"/>
  <c r="O116"/>
  <c r="L115"/>
  <c r="L100" s="1"/>
  <c r="O39"/>
  <c r="L38"/>
  <c r="Z39"/>
  <c r="L56"/>
  <c r="O57"/>
  <c r="Z57"/>
  <c r="H45" i="30"/>
  <c r="G28" i="27"/>
  <c r="K27"/>
  <c r="L27" s="1"/>
  <c r="Z56" i="1" l="1"/>
  <c r="O56"/>
  <c r="O100"/>
  <c r="L119"/>
  <c r="L37"/>
  <c r="O37" l="1"/>
  <c r="L70"/>
  <c r="O119"/>
  <c r="H259" i="30"/>
  <c r="H260" s="1"/>
  <c r="H263" l="1"/>
  <c r="O70" i="1"/>
  <c r="L120"/>
  <c r="N137" s="1"/>
  <c r="H272" i="30"/>
  <c r="H273"/>
  <c r="H256"/>
  <c r="H257" s="1"/>
</calcChain>
</file>

<file path=xl/comments1.xml><?xml version="1.0" encoding="utf-8"?>
<comments xmlns="http://schemas.openxmlformats.org/spreadsheetml/2006/main">
  <authors>
    <author>Tuan CPA</author>
  </authors>
  <commentList>
    <comment ref="Q82" authorId="0">
      <text>
        <r>
          <rPr>
            <b/>
            <sz val="8"/>
            <color indexed="81"/>
            <rFont val="Tahoma"/>
            <family val="2"/>
          </rPr>
          <t>Tuan CPA:</t>
        </r>
        <r>
          <rPr>
            <sz val="8"/>
            <color indexed="81"/>
            <rFont val="Tahoma"/>
            <family val="2"/>
          </rPr>
          <t xml:space="preserve">
Ban dieu hanh Nam Chien</t>
        </r>
      </text>
    </comment>
  </commentList>
</comments>
</file>

<file path=xl/comments2.xml><?xml version="1.0" encoding="utf-8"?>
<comments xmlns="http://schemas.openxmlformats.org/spreadsheetml/2006/main">
  <authors>
    <author>user</author>
  </authors>
  <commentList>
    <comment ref="I16" authorId="0">
      <text>
        <r>
          <rPr>
            <b/>
            <sz val="8"/>
            <color indexed="81"/>
            <rFont val="Tahoma"/>
            <family val="2"/>
          </rPr>
          <t>user:</t>
        </r>
        <r>
          <rPr>
            <sz val="8"/>
            <color indexed="81"/>
            <rFont val="Tahoma"/>
            <family val="2"/>
          </rPr>
          <t xml:space="preserve">
</t>
        </r>
        <r>
          <rPr>
            <sz val="8"/>
            <color indexed="81"/>
            <rFont val=".VnTime"/>
            <family val="2"/>
          </rPr>
          <t xml:space="preserve">Sè liÖu lÊy tõ TK 421 l·i n¨m tr­íc ph©n bæ cho c¸c quü </t>
        </r>
      </text>
    </comment>
  </commentList>
</comments>
</file>

<file path=xl/sharedStrings.xml><?xml version="1.0" encoding="utf-8"?>
<sst xmlns="http://schemas.openxmlformats.org/spreadsheetml/2006/main" count="2735" uniqueCount="1692">
  <si>
    <t>01-01-2012</t>
  </si>
  <si>
    <t>Chi phÝ khÊu hao TSC§</t>
  </si>
  <si>
    <t>T¹i thêi ®iÓm 30/06/2012 C«ng ty kh«ng trÝch lËp dù phßng gi¶m gi¸ hµng tån kho</t>
  </si>
  <si>
    <t xml:space="preserve">Tµi s¶n cè ®Þnh cña C«ng ty ®­îc h¹ch to¸n ban ®Çu theo Nguyªn gi¸. Trong qu¸ tr×nh sö dông Tµi s¶n cè ®Þnh ®­îc h¹ch to¸n theo 03 chØ tiªu: nguyªn gi¸, hao mßn luü kÕ vµ gi¸ trÞ cßn l¹i. </t>
  </si>
  <si>
    <t xml:space="preserve">Nguyªn gi¸ cña tµi s¶n cè ®Þnh ®­îc x¸c ®Þnh lµ toµn bé chi phÝ mµ ®¬n vÞ ®· bá ra ®Ó cã ®­îc tµi s¶n ®ã tÝnh ®Õn thêi ®iÓm ®­a tµi s¶n vµo vÞ trÝ s½n sµng sö dông. </t>
  </si>
  <si>
    <t>Chóng t«i, C«ng ty Cæ phÇn §Çu t­ &amp; Th­¬ng m¹i DÇu KhÝ S«ng §µ, tuyªn bè tu©n thñ c¸c ChuÈn mùc kÕ to¸n vµ ChÕ ®é kÕ to¸n ViÖt Nam do Bé Tµi chÝnh ban hµnh, phï hîp víi ®Æc ®iÓm ho¹t ®éng s¶n xuÊt kinh doanh cña C«ng ty.</t>
  </si>
  <si>
    <t>C¸c kho¶n gi¶m trõ doanh thu</t>
  </si>
  <si>
    <t>BQL dù ¸n  H¹ tÇng KT xung quang Hå T©y</t>
  </si>
  <si>
    <t>C«ng an tØnh Hµ Nam</t>
  </si>
  <si>
    <t>TCT CP x©y l¾p DÇu KhÝ ViÖt Nam</t>
  </si>
  <si>
    <t>CN Cty X©y l¾p DÇu KhÝ Hµ Néi - TCT XL DKVN</t>
  </si>
  <si>
    <t>Cty CP x©y l¾p ®­êng èng bÓ chøa DÇu KhÝ</t>
  </si>
  <si>
    <t>XN Liªn doanh DÇu KhÝ Vietsovpetro</t>
  </si>
  <si>
    <t>Cty CP §Çu t­ vµ PT DÞch vô DÇu KhÝ</t>
  </si>
  <si>
    <t>BQL DA §TXD Cty CPKD khÝ ho¸ láng MiÒn B¾c</t>
  </si>
  <si>
    <t>CTy CP DV DÇu KhÝ Qu¶ng Ng·i PTSC</t>
  </si>
  <si>
    <t>Cty TNHH MTV läc ho¸ dÇu B×nh S¬n - BSR</t>
  </si>
  <si>
    <t>Cty CP dÞch vô kü thuËt N¨ng L­îng</t>
  </si>
  <si>
    <t>Cty ®iÒu hµnh DK BiÓn §«ng - CN tËp ®oµn DK VN</t>
  </si>
  <si>
    <t>Cty CP Kü thuËt SEEN</t>
  </si>
  <si>
    <t>C«ng ty TNHH §¹i TÝn</t>
  </si>
  <si>
    <t>Cty CP Bª t«ng C«ng nghÖ Cao - Sopewaco</t>
  </si>
  <si>
    <t>B§H DA XD NM nhiÖt ®iÖn Vòng ¸ng I</t>
  </si>
  <si>
    <t>BQL DA duy tu b¶o d­ìng ®ª ®iÒu nguån vèn sù nghÖp</t>
  </si>
  <si>
    <t xml:space="preserve">  KÕ to¸n tr­ëng</t>
  </si>
  <si>
    <t>Tû suÊt lîi nhuËn tr­íc thuÕ trªn doanh thu thuÇn</t>
  </si>
  <si>
    <t>Tû suÊt lîi nhuËn sau thuÕ trªn doanh thu thuÇn</t>
  </si>
  <si>
    <t>Tû suÊt lîi nhuËn trªn tæng tµi s¶n (%)</t>
  </si>
  <si>
    <t>Tû suÊt lîi nhuËn tr­íc thuÕ trªn tæng tµi s¶n</t>
  </si>
  <si>
    <t>Tû suÊt lîi nhuËn sau thuÕ trªn tæng tµi s¶n</t>
  </si>
  <si>
    <t>Mét sè chØ tiªu tµi chÝnh c¬ b¶n</t>
  </si>
  <si>
    <t>(Theo ph­¬ng ph¸p gi¸n tiÕp)</t>
  </si>
  <si>
    <t>Dù phßng gi¶m gi¸ ®Çu t­ ng¾n h¹n, dµi h¹n ®­îc ¸p dông theo h­íng dÉn t¹i Th«ng t­ sè 228/2009/TT-BTC ngµy 07/12/2009 cña Bé Tµi chÝnh.</t>
  </si>
  <si>
    <t>N¨m 2010</t>
  </si>
  <si>
    <t>Kh¶ n¨ng thanh to¸n nhanh (lÇn)</t>
  </si>
  <si>
    <t>C«ng ty CP S«ng §µ 3</t>
  </si>
  <si>
    <t>C«ng ty CP Thñy ®iÖn cao nguyªn S«ng §µ 7</t>
  </si>
  <si>
    <t>2- 4</t>
  </si>
  <si>
    <t>5 - 6</t>
  </si>
  <si>
    <t>7- 8</t>
  </si>
  <si>
    <t>9- 10</t>
  </si>
  <si>
    <t>12- 36</t>
  </si>
  <si>
    <t>Chóng t«i ®· thùc hiÖn c«ng t¸c so¸t xÐt b¸o c¸o tµi chÝnh gi÷a niªn ®é kÕt thóc ngµy 30/06/2013 cña C«ng ty Cæ phÇn §Çu t­ &amp; Th­¬ng m¹i DÇu KhÝ S«ng §µ bao gåm: B¶ng c©n ®èi kÕ to¸n t¹i ngµy 30/06/2013, B¸o c¸o kÕt qu¶ kinh doanh gi÷a niªn ®é, B¸o c¸o l­u chuyÓn tiÒn tÖ gi÷a niªn ®é vµ B¶n thuyÕt minh b¸o c¸o tµi chÝnh gi÷a niªn ®é kÕt thóc ngµy 30/06/2013 ®­îc tr×nh bµy tõ trang 7 ®Õn trang 36 kÌm theo.</t>
  </si>
  <si>
    <t>CTy CP TT vµ xóc tiÕn th­¬ng hiÖu ViÖt Nam</t>
  </si>
  <si>
    <t>Cty CP th­¬ng m¹i B×nh Minh ViÖt</t>
  </si>
  <si>
    <t>Trung t©m l­u ký chøng kho¸n ViÖt Nam</t>
  </si>
  <si>
    <t>C«ng ty TNHH ThÐp Everrich</t>
  </si>
  <si>
    <t>Së giao dÞch chøng kho¸n Hµ Néi</t>
  </si>
  <si>
    <t>Cung triÔn l·m quy ho¹ch Quèc gia</t>
  </si>
  <si>
    <t>Cty TNHH NN MTV §Þa chÝnh Hµ Néi</t>
  </si>
  <si>
    <t>CT CP §T TM Hµ Phong</t>
  </si>
  <si>
    <t>CT TNHH KiÓm to¸n vµ kÕ to¸n Hµ Néi</t>
  </si>
  <si>
    <t>Trung t©m ®iÒu ®é hÖ thèng ®iÖn MiÒn B¾c</t>
  </si>
  <si>
    <t>CT CP T­ vÊn vµ X©y dùng HÖ thèng ®iÖn MiÒn B¾c</t>
  </si>
  <si>
    <t>Vtech Equiqment Pte Ltd</t>
  </si>
  <si>
    <t>Cty Phoenix Shipping Co., LTD</t>
  </si>
  <si>
    <t>Grundfos PTE, LTD ( Singapore)</t>
  </si>
  <si>
    <t>PILS Co., Ltd</t>
  </si>
  <si>
    <t>FMC TECHNOLOGIES SA</t>
  </si>
  <si>
    <t>Cty CP §T XD &amp; TBÞ DÇu KhÝ ChÝ ThÐp</t>
  </si>
  <si>
    <t>ViÖn ®o l­êng ViÖt Nam</t>
  </si>
  <si>
    <t>SS VALVE CO, LTD</t>
  </si>
  <si>
    <t>Cty TNHH Dòng Th¾ng</t>
  </si>
  <si>
    <t>Cty TNHH Thµnh §øc</t>
  </si>
  <si>
    <t>XN TM &amp; XD S«ng Hång-Cty TNHH tµu thñy &amp; XD SHång</t>
  </si>
  <si>
    <t>B§H dù ¸n nhµ thi ®Êu §µ N½ng</t>
  </si>
  <si>
    <t>Cty CP XD CT c«ng nghÖ cao Th¨ng Long</t>
  </si>
  <si>
    <t>C«ng ty TNHH Th¾ng Lîi</t>
  </si>
  <si>
    <t>C«ng ty CP CE ViÖt NhËt</t>
  </si>
  <si>
    <t>Cty TNHH XDvµ §T TM H¶i Nam</t>
  </si>
  <si>
    <t>Cty TNHH AJU Rental ViÖt Nam</t>
  </si>
  <si>
    <t>CTy TNHH MTV thÐp Phó Th¾ng</t>
  </si>
  <si>
    <t>CTy t­ vÊn KS vµ kiÓm ®Þnh X©y dùng</t>
  </si>
  <si>
    <t>TT t­ vÊn XDCN &amp; HT- ViÖn KHCN X©y dùng</t>
  </si>
  <si>
    <t>Cty TNHH ®iÖn c¬ S«ng Chanh</t>
  </si>
  <si>
    <t>C«ng ty CP cöa sæ nhùa Ch©u ¢u</t>
  </si>
  <si>
    <t>C«ng ty CP nh«m ViÖt Dòng</t>
  </si>
  <si>
    <t>C«ng ty CP Thiªn Hµ ViÖt Nam</t>
  </si>
  <si>
    <t>3.3</t>
  </si>
  <si>
    <t>Ph¶i thu kh¸c</t>
  </si>
  <si>
    <t>Cty CP XD vµ th­¬ng m¹i S«ng §µ</t>
  </si>
  <si>
    <t>CTy TNHH Kü nghÖ Toµn T©m</t>
  </si>
  <si>
    <t>CTy CP ®Çu t­ vµ th­¬ng m¹i Hanco</t>
  </si>
  <si>
    <t>CTy TNHH COMIN ViÖt Nam</t>
  </si>
  <si>
    <t>T¹p chÝ th«ng tin vµ dù b¸o kinh tÕ - XH</t>
  </si>
  <si>
    <t xml:space="preserve"> - TS ng¾n h¹n/ tæng tµi s¶n</t>
  </si>
  <si>
    <t xml:space="preserve"> - TS dµi h¹n/ tæng tµi s¶n</t>
  </si>
  <si>
    <t>1.2. Bè trÝ c¬ cÊu vèn</t>
  </si>
  <si>
    <t xml:space="preserve"> - Nî ph¶i tr¶/ Tæng nguån vèn</t>
  </si>
  <si>
    <t xml:space="preserve"> - Vèn chñ së h÷u / Tæng ngï«n vèn</t>
  </si>
  <si>
    <t>2. Kh¶ n¨ng thanh to¸n</t>
  </si>
  <si>
    <t>2.1. Kh¶ n¨ng thanh to¸n tæng qu¸t</t>
  </si>
  <si>
    <t>2.2. Kh¶ n¨ng thanh to¸n nî ng¾n h¹n</t>
  </si>
  <si>
    <t>HK s¾t</t>
  </si>
  <si>
    <t>2.3. Kh¶ n¨ng thanh to¸n nhanh</t>
  </si>
  <si>
    <t>3. Tû suÊt sinh lêi</t>
  </si>
  <si>
    <t>3.1. SuÊt sinh lêi trªn doanh thu</t>
  </si>
  <si>
    <t xml:space="preserve"> - Tû suÊt lîi nhuËn tr­íc thuÕ /Doanh thu</t>
  </si>
  <si>
    <t xml:space="preserve"> - Tû suÊt lîi nhuËn sau thuÕ /Doanh thu</t>
  </si>
  <si>
    <t>3.2. SuÊt sinh lêi cña tµi s¶n</t>
  </si>
  <si>
    <t xml:space="preserve"> - Tû suÊt lîi nhuËn tr­íc thuÕ /Tæng tµi s¶n</t>
  </si>
  <si>
    <t xml:space="preserve"> - Tû suÊt lîi nhuËn sau thuÕ /Tæng tµi s¶n</t>
  </si>
  <si>
    <t>3.3. Tû suÊt lîi nhuËn sau thuÕ trªn vèn chñ së h÷u</t>
  </si>
  <si>
    <t>%</t>
  </si>
  <si>
    <t>LÇn</t>
  </si>
  <si>
    <t>3. C¸c kho¶n thuÕ ph¶i thu Nhµ n­íc</t>
  </si>
  <si>
    <t>D1361</t>
  </si>
  <si>
    <t>Vèn kinh doanh ë ®¬n vÞ trùc thuéc</t>
  </si>
  <si>
    <t>2. Vèn kinh doanh ë ®¬n vÞ trùc thuéc</t>
  </si>
  <si>
    <t>Ph¶i tr¶ c¸c h¹ng môc, dù ¸n phßng QLKT</t>
  </si>
  <si>
    <t>Ph¶i tr¶ c¸c dù ¸n do §éi XD CT ngÇm</t>
  </si>
  <si>
    <t/>
  </si>
  <si>
    <t>Sè d­ ngµy 30/06/2013</t>
  </si>
  <si>
    <t>Tõ Quúnh H¹nh</t>
  </si>
  <si>
    <t>KÕt thóc ngµy 30/06/2013</t>
  </si>
  <si>
    <t>T¹i ngµy 30 th¸ng 06 n¨m 2013</t>
  </si>
  <si>
    <t>C«ng ty TNHH KiÓm to¸n vµ t­ vÊn Th¨ng Long - T.D.K</t>
  </si>
  <si>
    <t>c«ng ty tnhh kiÓm to¸n vµ t­ vÊn th¨ng long - t.D.K</t>
  </si>
  <si>
    <t>Sè 23 Phè §ç Quang - CÇu GiÊy - Hµ Néi</t>
  </si>
  <si>
    <t>§iÖn tho¹i: (04) 6251 0008             Fax: (04) 6251 1327</t>
  </si>
  <si>
    <t>Cty TNHH TM Hoµng Chung</t>
  </si>
  <si>
    <t>Cty CP cöa sæ nhùa Ch©u ¢u</t>
  </si>
  <si>
    <t>Cty CP ®Çu t­ &amp; PT c«ng nghÖ Lam Ph­¬ng</t>
  </si>
  <si>
    <t>Cty CP SXXD &amp; TM Tr­êng Thµnh</t>
  </si>
  <si>
    <t>Cty CP ®¸ granite &amp; marble tù nhiªn Thiªn S¬n</t>
  </si>
  <si>
    <t>Cty TNHH §T &amp; PT CN Th¸i Hßa</t>
  </si>
  <si>
    <t>Cty TNHH TuÊn H­ng</t>
  </si>
  <si>
    <t>Cty CP XD &amp; TV QL Dù ¸n</t>
  </si>
  <si>
    <t>Cty CP XNK ®Çu t­ th­¬ng m¹i ViÖt Nam</t>
  </si>
  <si>
    <t>Cty CP §Çu t­ XD 702</t>
  </si>
  <si>
    <t>DNTN Thanh L©m</t>
  </si>
  <si>
    <t>Cty CP XD SXTM Hµ T©y</t>
  </si>
  <si>
    <t>T¹i thêi ®iÓm cuèi kú tµi chÝnh c¸c kho¶n môc tiÒn cã gèc ngo¹i tÖ ®­îc quy ®æi theo tû gi¸ mua vµo t¹i Ng©n hµng th­¬ng m¹i n¬i c«ng ty më tµi kho¶n c«ng bè t¹i thêi ®iÓm kÕt thóc niªn ®é kÕ to¸n. Chªnh lÖch tû gi¸ do ®¸nh gi¸ l¹i sè d­ c¸c kho¶n môc tiÒn tÖ t¹i thêi ®iÓm cuèi n¨m ®­îc kÕt chuyÓn vµo doanh thu hoÆc chi phÝ tµi chÝnh trong kú.</t>
  </si>
  <si>
    <t>Sè d­ ®Çu n¨m trªn B¶ng c©n ®èi kÕ to¸n ®­îc lÊy theo sè d­ trªn B¸o c¸o tµi chÝnh cho n¨m tµi chÝnh kÕt thóc ngµy 31 th¸ng 12 n¨m 2012 vµ sè liÖu so s¸nh trªn B¸o c¸o kÕt qu¶ kinh doanh gi÷a niªn ®é, B¸o c¸o l­u chuyÓn tiÒn tÖ gi÷a niªn ®é ®­îc lÊy theo B¸o c¸o tµi chÝnh gi÷a niªn ®é n¨m 2012 cña C«ng ty ®· ®­îc so¸t xÐt bëi C«ng ty TNHH KiÓm to¸n vµ KÕ to¸n Hµ Néi.</t>
  </si>
  <si>
    <t>Cty CP §T PT XD &amp; TM Th¨ng Long</t>
  </si>
  <si>
    <t>Cty b¶o hiÓm PVI Nam S«ng Hång</t>
  </si>
  <si>
    <t>Cty CP dÞch vô vËn t¶i Sµi Gßn</t>
  </si>
  <si>
    <t>C«ng ty TNHH øng dông c«ng nghÖ Khëi Nguyªn</t>
  </si>
  <si>
    <t>C«ng ty CP CNC Hµ Néi</t>
  </si>
  <si>
    <t>C«ng ty CP kü thuËt x©y dùng Tramico</t>
  </si>
  <si>
    <t>Cty CP kiÕn tróc TVXD TM - DLL</t>
  </si>
  <si>
    <t>Cty CP ®Çu t­ vµ th­¬ng m¹i ViÔn D­¬ng</t>
  </si>
  <si>
    <t>Cty TNHH MTV TM &amp; DL §«ng H¶i</t>
  </si>
  <si>
    <t>Cty L¾p m¸y ®iÖn n­íc</t>
  </si>
  <si>
    <t>Cty TNHH ®Çu t­ th­¬ng m¹i vµ x©y dùng Trang Minh</t>
  </si>
  <si>
    <t>Cty TNHH SX &amp; TM DV Phó Quý</t>
  </si>
  <si>
    <t>Cty TNHH øng dông c«ng nghÖ Khëi Nguyªn</t>
  </si>
  <si>
    <t>FUTURE PIPE INDUSTRIE LLC</t>
  </si>
  <si>
    <t>Cty CP x©y dùng &amp; VT Tµi Lîi</t>
  </si>
  <si>
    <t>Cty TNHH Ph­îng Hoµng</t>
  </si>
  <si>
    <t>Cty TNHH Kü thuËt §oµn Gia Ph¸t</t>
  </si>
  <si>
    <t>Cty TNHH §T &amp; TM Trung Anh</t>
  </si>
  <si>
    <t>CTy CP thang m¸y H­ng ThÞnh</t>
  </si>
  <si>
    <t>CTy CP th«ng tin vµ ®Þnh gi¸ ViÖt Nam</t>
  </si>
  <si>
    <t>Doanh thu kinh doanh bÊt ®éng s¶n ®­îc x¸c ®Þnh theo sè tiÒn thùc tÕ thu theo tiÕn ®é.</t>
  </si>
  <si>
    <t>12.1</t>
  </si>
  <si>
    <t>12.2</t>
  </si>
  <si>
    <t>12.3</t>
  </si>
  <si>
    <t xml:space="preserve">  - TiÒn mÆt (VND)</t>
  </si>
  <si>
    <t xml:space="preserve">  - TiÒn göi Ng©n hµng (VND)</t>
  </si>
  <si>
    <t xml:space="preserve">Sè l­îng </t>
  </si>
  <si>
    <t>Gi¸ trÞ (®)</t>
  </si>
  <si>
    <t>Chøng kho¸n ®Çu t­ NH</t>
  </si>
  <si>
    <t>Lý do thay ®æi ®èi víi tõng kho¶n ®Çu t­, lo¹i cæ phiÕu, tr¸i phiÕu:</t>
  </si>
  <si>
    <t xml:space="preserve">+ VÒ gi¸ trÞ: </t>
  </si>
  <si>
    <t>§Çu t­ dµi h¹n kh¸c:</t>
  </si>
  <si>
    <t>Dù phßng ®Çu t­ gi¶m gi¸ d.h¹n</t>
  </si>
  <si>
    <t>ThuÕ GTGT ph¶i nép</t>
  </si>
  <si>
    <t xml:space="preserve">ThuÕ TNDN </t>
  </si>
  <si>
    <t>ThuÕ thu nhËp c¸ nh©n</t>
  </si>
  <si>
    <t>ThuÕ nhµ ®Êt, tiÒn thuª ®Êt</t>
  </si>
  <si>
    <t>Cæ tøc, lîi nhuËn ®­îc chia</t>
  </si>
  <si>
    <t>L·i tiÒn göi, tiÒn cho vay</t>
  </si>
  <si>
    <t>Chi phÝ nguyªn liÖu, vËt liÖu</t>
  </si>
  <si>
    <t>Chi  phÝ dÞch vô mua ngoµi</t>
  </si>
  <si>
    <t xml:space="preserve">Chi phÝ kh¸c </t>
  </si>
  <si>
    <t>Giao dÞch víi c¸c bªn liªn quan</t>
  </si>
  <si>
    <t>Quan hÖ víi C«ng ty</t>
  </si>
  <si>
    <t>Néi dung nghiÖp vô</t>
  </si>
  <si>
    <t>Gi¸ trÞ giao dÞch</t>
  </si>
  <si>
    <t>Bªn liªn quan</t>
  </si>
  <si>
    <t>Quan hÖ</t>
  </si>
  <si>
    <t>C¸c kho¶n ph¶i tr¶</t>
  </si>
  <si>
    <t>C«ng nî gi÷a C«ng ty mÑ vµ C«ng ty con</t>
  </si>
  <si>
    <t>6 th¸ng</t>
  </si>
  <si>
    <t>1.3</t>
  </si>
  <si>
    <t>NguyÔn Trung Kiªn</t>
  </si>
  <si>
    <t>GiÊy chøng nhËn ®¨ng kÝ hµnh nghÒ kiÓm to¸n sè: 1129-2013-045-1</t>
  </si>
  <si>
    <t>Chi phÝ ®ë dang cuèi kú lµ toµn bé chi phÝ ph¸t sinh trong kú cña tõng c«ng tr×nh t¹i c¸c xÝ nghiÖp vµ chi nh¸nh cña C«ng ty trõ ®i phÇn chi phÝ dë dang ®· kÕt chuyÓn x¸c ®Þnh gi¸ vèn cña c¸c c«ng tr×nh.</t>
  </si>
  <si>
    <r>
      <t>Doanh thu ho¹t ®éng x©y dùng:</t>
    </r>
    <r>
      <rPr>
        <sz val="11.5"/>
        <rFont val=".VnTime"/>
        <family val="2"/>
      </rPr>
      <t xml:space="preserve"> ®­îc x¸c ®Þnh theo gi¸ trÞ khèi l­îng thùc hiÖn, ®­îc kh¸ch hµng x¸c nhËn b»ng nghiÖm thu, quyÕt to¸n, ®· ph¸t hµnh ho¸ ®¬n GTGT, phï hîp víi quy ®Þnh t¹i ChuÈn mùc kÕ to¸n sè 15 - " Hîp ®ång x©y dùng".</t>
    </r>
  </si>
  <si>
    <t>Nguyªn t¾c ghi nhËn chi phÝ hîp ®ång x©y dùng</t>
  </si>
  <si>
    <t>Chi phÝ cña hîp ®ång x©y dùng bao gåm: chi phÝ liªn quan trùc tiÕp ®Õn tõng hîp ®ång, chi phÝ chung ®­îc ph©n bæ cho c¸c hîp ®ång cã liªn quan vµ c¸c chi phÝ kh¸c cã thÓ thu l¹i tõ kh¸ch hµng theo c¸c ®iÒu kho¶n cña hîp ®ång x©y l¾p.</t>
  </si>
  <si>
    <t>31/12/2012</t>
  </si>
  <si>
    <t>30/06/2013</t>
  </si>
  <si>
    <t>NguyÔn ViÖt C­êng</t>
  </si>
  <si>
    <t>§oµn Ngäc Long</t>
  </si>
  <si>
    <t>Phïng Xu©n Nam</t>
  </si>
  <si>
    <t>NguyÔn Quèc Kh¸nh</t>
  </si>
  <si>
    <t>NguyÔn KiÕn ThiÕt</t>
  </si>
  <si>
    <t>Lª Ngäc L©m</t>
  </si>
  <si>
    <t>Ph¹m V¨n Lùc</t>
  </si>
  <si>
    <t>Hoµng M¹nh C­êng</t>
  </si>
  <si>
    <t>TrÇn ThÞ Thøc</t>
  </si>
  <si>
    <t>§oµn M¹nh C­êng</t>
  </si>
  <si>
    <t>TrÇn Hïng</t>
  </si>
  <si>
    <t>TiÒn B¶o hiÓm</t>
  </si>
  <si>
    <t>NguyÔn V¨n Phong</t>
  </si>
  <si>
    <t>Bïi Trung Kiªn</t>
  </si>
  <si>
    <t>§ç M¹nh Th¾ng</t>
  </si>
  <si>
    <t>§ç Duy §iÒn</t>
  </si>
  <si>
    <t>TrÞnh V¨n H¹nh</t>
  </si>
  <si>
    <t>Ph¶i thu CBCNV</t>
  </si>
  <si>
    <t>Cty CP S«ng §µ Cao C­êng</t>
  </si>
  <si>
    <t>C«ng ty CP S«ng §µ 11.3</t>
  </si>
  <si>
    <t>C«ng ty CP S«ng §µ 11.1</t>
  </si>
  <si>
    <t>XÝ nghiÖp S«ng §µ 10.6</t>
  </si>
  <si>
    <t>XÝ nghiÖp S«ng §µ 12.2</t>
  </si>
  <si>
    <t>Chi nh¸nh Cty S«ng §µ 409 t¹i S¬n La</t>
  </si>
  <si>
    <t>B¶o hiÓm PVI Nam S«ng Hång</t>
  </si>
  <si>
    <t>Cty CP Th­¬ng m¹i B×nh Minh ViÖt</t>
  </si>
  <si>
    <t>Cty TNHH MTV &amp; vËn t¶i ThÞnh §øc</t>
  </si>
  <si>
    <t>Cty TNHH ®Çu t­ th­¬ng m¹i Xu©n Léc</t>
  </si>
  <si>
    <t>Cty CP ®Çu t­ &amp; XD COMESS</t>
  </si>
  <si>
    <t>Cty ®Çu t­ &amp; PT c«ng nghÖ VN</t>
  </si>
  <si>
    <t>T¹p chÝ kiÕn tróc ViÖt Nam</t>
  </si>
  <si>
    <t>Cty TNHH t­ vÊn trang trÝ néi thÊt &amp; XD Song Ng÷</t>
  </si>
  <si>
    <t>Cty TNHH th­¬ng m¹i vËn t¶i Hång Trang</t>
  </si>
  <si>
    <t>Cty CP phô gia bª t«ng Ph¶ L¹i</t>
  </si>
  <si>
    <t>- T¹i thêi ®iÓm 30/06/2013, C«ng ty trÝch lËp Dù phßng ®Çu t­ tµi chÝnh dµi h¹n gi¸ trÞ lµ 16.216.384.701 ®ång. Gi¸ trÞ nµy ®­îc tÝnh to¸n trªn c¬ së tæng gi¸ trÞ ph¶i trÝch lËp t¹i ngµy 30/06/2013 theo quy ®Þnh hiÖn hµnh trõ sè lç theo kÕ ho¹ch tõ n¨m 2009 ®Õn hÕt n¨m 2012 lµ 10.200.000.000 ®ång.</t>
  </si>
  <si>
    <t>Hµ Néi, ngµy 10 th¸ng 09 n¨m 2013</t>
  </si>
  <si>
    <t>Nguyªn gi¸ tµi s¶n cè ®Þnh</t>
  </si>
  <si>
    <t xml:space="preserve"> - XDCB hoµn thµnh</t>
  </si>
  <si>
    <t xml:space="preserve"> - T¨ng kh¸c</t>
  </si>
  <si>
    <t xml:space="preserve"> - ChuyÓn sang B§S ®Çu t­</t>
  </si>
  <si>
    <t xml:space="preserve"> - Thanh lý, nh­îng b¸n</t>
  </si>
  <si>
    <t xml:space="preserve"> - Gi¶m kh¸c</t>
  </si>
  <si>
    <t>Gi¸ trÞ cßn l¹i cña TSC§</t>
  </si>
  <si>
    <t xml:space="preserve"> - T¹i ngµy ®Çu n¨m</t>
  </si>
  <si>
    <t>5. TiÒn chi nép thuÕ thu nhËp doanh nghiÖp</t>
  </si>
  <si>
    <t>A- b¶ng ®èi chiÕu biÕn ®éng nguån vèn chñ së h÷u</t>
  </si>
  <si>
    <t>Vèn ®Çu t­ chñ së h÷u</t>
  </si>
  <si>
    <t>LN sau thuÕ ch­a ph©n phèi</t>
  </si>
  <si>
    <t xml:space="preserve"> Sè cuèi n¨m </t>
  </si>
  <si>
    <t xml:space="preserve"> Sè ®Çu n¨m </t>
  </si>
  <si>
    <t>1. Sè d­ ®Çu n¨m tr­íc</t>
  </si>
  <si>
    <t xml:space="preserve">2. Sè d­ cuèi n¨m tr­íc </t>
  </si>
  <si>
    <t>K.tra</t>
  </si>
  <si>
    <t>Nguyªn gi¸</t>
  </si>
  <si>
    <t>2. Sè t¨ng trong n¨m</t>
  </si>
  <si>
    <t xml:space="preserve"> - Mua trong n¨m</t>
  </si>
  <si>
    <t>3. Sè gi¶m trong n¨m</t>
  </si>
  <si>
    <t xml:space="preserve"> - KhÊu hao trong n¨m</t>
  </si>
  <si>
    <t>Gi¸ trÞ cßn l¹i</t>
  </si>
  <si>
    <t>Ghi chó</t>
  </si>
  <si>
    <t>Chi phÝ thuÕ thu nhËp hiÖn hµnh</t>
  </si>
  <si>
    <t>B. TµI S¶N DµI H¹N</t>
  </si>
  <si>
    <t>Sè ®Çu n¨m</t>
  </si>
  <si>
    <t>§¬n vÞ tÝnh: VN§</t>
  </si>
  <si>
    <t>Tµi s¶n</t>
  </si>
  <si>
    <t>M· sè</t>
  </si>
  <si>
    <t>ThuyÕt minh</t>
  </si>
  <si>
    <t>A. tµi s¶n ng¾n h¹n</t>
  </si>
  <si>
    <t xml:space="preserve">I. TiÒn vµ c¸c kho¶n t­¬ng ®­¬ng tiÒn </t>
  </si>
  <si>
    <t>TT t­ vÊn XD c«ng nghiÖp vµ h¹ tÇng</t>
  </si>
  <si>
    <t>Cty CP ®Çu t­ §Ønh Vµng</t>
  </si>
  <si>
    <t>Cty CP CNC Hµ Néi</t>
  </si>
  <si>
    <t>Cty CP c«ng nghiÖp XD Toµn Ph¸t</t>
  </si>
  <si>
    <t>Cty CP x©y dùng TM vµ vËn t¶i B×nh Minh</t>
  </si>
  <si>
    <t>Cty CP CE ViÖt NhËt</t>
  </si>
  <si>
    <t>Cty CP ®Çu t­ XL ®« thÞ Hµ Néi</t>
  </si>
  <si>
    <t>Cty CP t­ vÊn XD&amp;TM Thñ §«</t>
  </si>
  <si>
    <t>Cty CP XL&amp;VLXD Dçu khÝ S«ng Hång</t>
  </si>
  <si>
    <t>Cty CP ®Çu t­ XD Anh Qu©n</t>
  </si>
  <si>
    <t>Cty CP Quang TiÕn Hßa B×nh</t>
  </si>
  <si>
    <t>Cty TNHH ®Çu t­ TM&amp;TB gi¸o dôc T©n Thanh</t>
  </si>
  <si>
    <t>Ban Gi¸m ®èc C«ng ty Cæ phÇn §Çu t­ &amp; Th­¬ng m¹i DÇu KhÝ S«ng §µ tr×nh bµy b¸o c¸o cña m×nh vµ b¸o c¸o tµi chÝnh gi÷a niªn ®é kÕt thóc ngµy 30/06/2013 cña C«ng ty.</t>
  </si>
  <si>
    <t>C«ng ty cã 02 chi nh¸nh h¹ch to¸n phô thuéc vµ 01 c«ng ty con:</t>
  </si>
  <si>
    <t>Chi nh¸nh phô thuéc</t>
  </si>
  <si>
    <t>C«ng ty Cæ phÇn §Çu t­ &amp; Th­¬ng m¹i DÇu KhÝ S«ng §µ ( sau ®©y viÕt t¾t lµ "C«ng ty") lµ c«ng ty cæ phÇn ho¹t ®éng theo LuËt doanh nghiÖp. C«ng ty ®­îc Së KÕ ho¹ch vµ §Çu t­ Hµ T©y cÊp GiÊy chøng nhËn ®¨ng ký kinh doanh lÇn ®Çu sè 0303000131 ngµy 20/11/2003 vµ ®­îc Së KÕ ho¹ch vµ §Çu t­ Hµ Néi cÊp giÊy chøng nhËn ®¨ng ký kinh doanh thay ®æi lÇn 10 ngµy 31/10/2011, m· sè doanh nghiÖp lµ 050044772.</t>
  </si>
  <si>
    <t>Ban Tæng Gi¸m ®èc C«ng ty cam kÕt r»ng b¸o c¸o tµi chÝnh ®· ph¶n ¸nh trung thùc vµ hîp lý t×nh h×nh tµi chÝnh cña C«ng ty t¹i thêi ®iÓm 30 th¸ng 06 n¨m 2013, kÕt qu¶ ho¹t ®éng kinh doanh vµ t×nh h×nh l­u chuyÓn tiÒn tÖ cho giai ®o¹n kÕ to¸n kÕt thóc cïng ngµy, phï hîp víi chuÈn mùc, chÕ ®é kÕ to¸n ViÖt Nam vµ tu©n thñ c¸c quy ®Þnh ph¸p lý cã liªn quan ®Õn viÖc lËp vµ tr×nh bµy b¸o c¸o tµi chÝnh.</t>
  </si>
  <si>
    <t xml:space="preserve">Chóng t«i ®· thùc hiÖn c«ng t¸c so¸t xÐt B¸o c¸o tµi chÝnh gi÷a niªn ®é theo ChuÈn mùc kiÓm to¸n ViÖt Nam sè 910 vÒ c«ng t¸c so¸t xÐt b¸o c¸o tµi chÝnh. ChuÈn mùc nµy yªu cÇu c«ng t¸c so¸t xÐt  ph¶i lËp kÕ ho¹ch vµ thùc hiÖn ®Ó cã sù ®¶m b¶o võa ph¶i r»ng b¸o c¸o tµi chÝnh gi÷a niªn ®é kh«ng cßn chøa ®ùng nh÷ng sai sãt träng yÕu. C«ng t¸c so¸t xÐt bao gåm chñ yÕu lµ viÖc trao ®æi víi nh©n sù cña C«ng ty vµ ¸p dông c¸c thñ tôc ph©n tÝch trªn nh÷ng th«ng tin tµi chÝnh; C«ng t¸c nµy cung cÊp mét møc ®é ®¶m b¶o thÊp h¬n c«ng t¸c kiÓm to¸n.  Chóng t«i kh«ng thùc hiÖn c«ng viÖc kiÓm to¸n nªn còng kh«ng ®­a ra ý kiÕn kiÓm to¸n. </t>
  </si>
  <si>
    <t>Cho kú kÕ to¸n tõ ngµy 01/01/2013 ®Õn ngµy 30/06/2013</t>
  </si>
  <si>
    <t>®· ®­îc so¸t xÐt</t>
  </si>
  <si>
    <t>Ng­êi lËp biÓu</t>
  </si>
  <si>
    <t xml:space="preserve">               Ng­êi lËp biÓu                                        KÕ to¸n tr­ëng</t>
  </si>
  <si>
    <t>+ NH TMCP Quèc tÕ VIB</t>
  </si>
  <si>
    <t>+ NH§T &amp; PT VN - CN CÇu GiÊy</t>
  </si>
  <si>
    <t>Ph¶i tr¶ tiÒn ®Êt khu Nam An Kh¸nh</t>
  </si>
  <si>
    <t>Ph¶i tr¶ c¸c Dù ¸n phßng th­¬ng m¹i</t>
  </si>
  <si>
    <r>
      <t>Sè</t>
    </r>
    <r>
      <rPr>
        <sz val="12"/>
        <rFont val=".VnTimeH"/>
        <family val="2"/>
      </rPr>
      <t>:        /BCKT - TC</t>
    </r>
  </si>
  <si>
    <t>B¶NG C¢N §èI KÕ TO¸N gi÷a niªn ®é</t>
  </si>
  <si>
    <t>B¶n ThuyÕt minh b¸o c¸o tµi chÝnh gi÷a niªn ®é</t>
  </si>
  <si>
    <t>X©y dùng c«ng tr×nh c«ng Ých;</t>
  </si>
  <si>
    <t>S¶n xuÊt bª t«ng vµ c¸c s¶n phÈm tõ xi m¨ng vµ th¹ch cao;</t>
  </si>
  <si>
    <t>- C¬ quan c«ng ty</t>
  </si>
  <si>
    <t>- Chi nh¸nh Hµ Néi</t>
  </si>
  <si>
    <t>- Chi nh¸nh Biªn Hßa</t>
  </si>
  <si>
    <t>- Nguyªn liÖu, vËt liÖu</t>
  </si>
  <si>
    <t>- C«ng cô dông cô</t>
  </si>
  <si>
    <t>- Chi phÝ s¶n xuÊt kinh doanh dë dang</t>
  </si>
  <si>
    <t>- Thµnh phÈm</t>
  </si>
  <si>
    <t>TSC§ v« h×nh kh¸c</t>
  </si>
  <si>
    <t>§Çu t­ dµi h¹n kh¸c (cæ phiÕu)</t>
  </si>
  <si>
    <t>Cty CP S«ng §µ 2</t>
  </si>
  <si>
    <t>C¸c kho¶n phÝ, lÖ phÝ vµ c¸c kho¶n ph¶i nép kh¸c</t>
  </si>
  <si>
    <t xml:space="preserve"> - Gi¶m kh¸c </t>
  </si>
  <si>
    <t>Doanh thu hîp ®ång x©y dùng</t>
  </si>
  <si>
    <t>Doanh thu thuÇn hîp ®ång x©y dùng</t>
  </si>
  <si>
    <t>Gi¸ vèn hîp ®ång x©y dùng</t>
  </si>
  <si>
    <t>L·i vay ph¶i tr¶ ng©n hµng</t>
  </si>
  <si>
    <t>22.</t>
  </si>
  <si>
    <t>V.14</t>
  </si>
  <si>
    <t>VI.21</t>
  </si>
  <si>
    <t>B¸o c¸o cña Héi ®ång qu¶n trÞ vµ Ban Tæng Gi¸m ®èc</t>
  </si>
  <si>
    <t>B¸o c¸o cña Ban tæng gi¸m ®èc</t>
  </si>
  <si>
    <t>KÓ tõ ngµy kÕt thóc kú ho¹t ®éng ®Õn ngµy lËp b¸o c¸o tµi chÝnh, chóng t«i cã ph¸t sinh mét sè sù kiÖn cã thÓ ¶nh h­ëng ®Õn c¸c th«ng tin ®· ®­îc tr×nh bµy trong b¸o c¸o tµi chÝnh nh­ sau:</t>
  </si>
  <si>
    <t>- T¹i quyÕt ®Þnh sè 07/CT-Q§-H§QT, c«ng ty chñ tr­¬ng thùc hiÖn chuyÓn ®æi C«ng ty TNHH §Çu t­ khai th¸c kho¸ng s¶n SOTRACO thµnh c«ng ty cæ phÇn, theo ®ã sÏ xö lý c¸c kho¶n tµi chÝnh phï hîp víi c¸c chÕ ®é, quy ®Þnh hiÖn hµnh vµ dù kiÕn hoµn thµnh tr­íc ngµy 15/05/2013. Tuy nhiªn ®Õn thêi ®iÓm 30/06/2013 c¸c thñ tôc liªn quan ®Õn viÖc chuyÓn ®æi vÉn ch­a hoµn thµnh.</t>
  </si>
  <si>
    <t>5. T¨ng, gi¶m tµi s¶n cè ®Þnh h÷u h×nh</t>
  </si>
  <si>
    <t>17. T¨ng, gi¶m vèn chñ së h÷u</t>
  </si>
  <si>
    <t>25.</t>
  </si>
  <si>
    <t>V.15</t>
  </si>
  <si>
    <t>V.16</t>
  </si>
  <si>
    <t>V.17</t>
  </si>
  <si>
    <t>VI.22</t>
  </si>
  <si>
    <t>VI.23</t>
  </si>
  <si>
    <t>VI.24</t>
  </si>
  <si>
    <t>C¸c chÝnh s¸ch kÕ to¸n ¸p dông</t>
  </si>
  <si>
    <t>Nguyªn t¾c ghi nhËn c¸c kho¶n ph¶i thu th­¬ng m¹i vµ ph¶i thu kh¸c:</t>
  </si>
  <si>
    <t>Ghi nhËn c¸c kho¶n ph¶i tr¶ th­¬ng m¹i vµ ph¶i tr¶ kh¸c</t>
  </si>
  <si>
    <t>Chi phÝ söa ch÷a lín tµi s¶n cè ®Þnh ph¸t sinh mét lÇn qu¸ lín.</t>
  </si>
  <si>
    <t xml:space="preserve"> 1. VËt t­, hµng hãa nhËn gi÷ hé, gia c«ng</t>
  </si>
  <si>
    <t xml:space="preserve"> 2. Nî khã ®ßi ®· xö lý</t>
  </si>
  <si>
    <t xml:space="preserve"> 3. Ngo¹i tÖ c¸c lo¹i</t>
  </si>
  <si>
    <t>Vèn b×nh qu©n trong ky</t>
  </si>
  <si>
    <t>môc lôc</t>
  </si>
  <si>
    <t>Héi ®ång qu¶n trÞ:</t>
  </si>
  <si>
    <t>Chñ tÞch H§QT</t>
  </si>
  <si>
    <t>Uû viªn</t>
  </si>
  <si>
    <t>Gi¸m ®èc</t>
  </si>
  <si>
    <t>Ban KiÓm so¸t:</t>
  </si>
  <si>
    <t>Tr­ëng ban</t>
  </si>
  <si>
    <t>Thµnh viªn</t>
  </si>
  <si>
    <t>KiÓm to¸n viªn ®éc lËp</t>
  </si>
  <si>
    <t xml:space="preserve">                 </t>
  </si>
  <si>
    <t>Chóng t«i xin l­u ý, B¸o c¸o tµi chÝnh ®· ®­îc kiÓm to¸n lµ B¸o c¸o riªng cña nhµ ®Çu t­, do ®ã c¸c kho¶n ®Çu t­ vµo C«ng ty con ®­îc tr×nh bµy theo ph­¬ng ph¸p gi¸ gèc.</t>
  </si>
  <si>
    <t>Giíi h¹n kiÓm to¸n</t>
  </si>
  <si>
    <t>C«ng ty ch­a tiÕn hµnh trÝch lËp dù phßng gi¶m gi¸ ®Çu t­ dµi h¹n cho kho¶n ®Çu t­ mua cæ phiÕu ®· niªm yÕt trªn sµn giao dÞch chøng kho¸n trÞ gi¸: 500.000.000 VND (trong ®ã, sè dù phßng cÇn lËp cña cæ phiÕu SD2: 470.000.000 VND; sè dù phßng cÇn lËp cña c</t>
  </si>
  <si>
    <t>Mét sè ho¹t ®éng s¶n xuÊt c«ng nghiÖp ®· ®­îc nghiÖm thu, thanh lý vµ ®· h¹ch to¸n doanh thu nh­ng ch­a kÕt chuyÓn chi phÝ dë dang vµo gi¸ vèn trong n¨m sè tiÒn lµ: 664.683.566 VND.</t>
  </si>
  <si>
    <t>KiÓm to¸n viªn</t>
  </si>
  <si>
    <r>
      <t>§­îc kiÓm to¸n bëi</t>
    </r>
    <r>
      <rPr>
        <sz val="11"/>
        <rFont val=".VnTime"/>
        <family val="2"/>
      </rPr>
      <t>:</t>
    </r>
  </si>
  <si>
    <t>§¹i diÖn cho:</t>
  </si>
  <si>
    <t>C«ng ty TNHH §Çu t­ khai th¸c kho¸ng s¶n Sotraco</t>
  </si>
  <si>
    <t>TÇng 4, CT3, tßa nhµ Fodacon, ®­êng TrÇn Phó, ph­êng Mç Lao, quËn Hµ §«ng, Hµ Néi.</t>
  </si>
  <si>
    <t>Nhµ B28 - TT12 khu ®« thÞ V¨n Qu¸n, quËn Hµ §«ng, Hµ Néi.</t>
  </si>
  <si>
    <t>¤ng §inh M¹nh Th¾ng</t>
  </si>
  <si>
    <t>¤ng Hoµng V¨n To¶n</t>
  </si>
  <si>
    <t>¤ng NguyÔn Nam Hång</t>
  </si>
  <si>
    <t>Chi phÝ ®i vay ®­îc vèn ho¸ trong kú kh«ng ®­îc v­ît qu¸ tæng sè chi phÝ ®i vay ph¸t sinh trong kú. C¸c kho¶n l·i tiÒn vay vµ kho¶n ph©n bæ chiÕt khÊu hoÆc phô tréi ®­îc vèn ho¸ trong tõng kú kh«ng ®­îc v­ît qu¸ sè l·i vay thùc tÕ ph¸t sinh vµ sè ph©n bæ chiÕt khÊu hoÆc phô tréi trong kú ®ã.</t>
  </si>
  <si>
    <t>QuyÕt to¸n thuÕ cña C«ng ty sÏ chÞu sù kiÓm tra cña c¬ quan thuÕ. Do viÖc ¸p dông LuËt vµ c¸c quy ®Þnh vÒ thuÕ víi viÖc ¸p dông c¸c quy ®Þnh vµ ChuÈn mùc kÕ to¸n cho c¸c giao dÞch t¹i C«ng ty cã thÓ ®­îc gi¶i thÝch theo c¸ch kh¸c nhau v× vËy sè thuÕ ®­îc tr×nh bµy trªn B¸o c¸o tµi chÝnh cã thÓ thay ®æi theo quyÕt ®Þnh cña C¬ quan thuÕ.</t>
  </si>
  <si>
    <t>Bè trÝ c¬ cÊu tµi s¶n vµ nguån vèn</t>
  </si>
  <si>
    <t>1.1</t>
  </si>
  <si>
    <t>Bè trÝ c¬ cÊu tµi s¶n (%)</t>
  </si>
  <si>
    <t>Tµi s¶n dµi h¹n/Tæng tµi s¶n</t>
  </si>
  <si>
    <t>Tµi s¶n ng¾n h¹n/Tæng tµi s¶n</t>
  </si>
  <si>
    <t>1.2</t>
  </si>
  <si>
    <t>Bè trÝ c¬ cÊu nguån vèn (%)</t>
  </si>
  <si>
    <t>Nî ph¶i tr¶/Tæng nguån vèn</t>
  </si>
  <si>
    <t>Nguån vèn chñ së h÷u/Tæng nguån vèn</t>
  </si>
  <si>
    <t>Kh¶ n¨ng thanh to¸n</t>
  </si>
  <si>
    <t>Kh¶ n¨ng thanh to¸n nî ng¾n h¹n (lÇn)</t>
  </si>
  <si>
    <t>Tû suÊt sinh lêi</t>
  </si>
  <si>
    <t>Tû suÊt sinh lêi trªn doanh thu thuÇn (%)</t>
  </si>
  <si>
    <t>(1)</t>
  </si>
  <si>
    <t>(2)</t>
  </si>
  <si>
    <t>(3)</t>
  </si>
  <si>
    <t>(4)</t>
  </si>
  <si>
    <t>1. Lîi nhuËn tr­íc thuÕ</t>
  </si>
  <si>
    <t>2. §iÒu chØnh cho c¸c kho¶n</t>
  </si>
  <si>
    <t>- KhÊu hao TSC§</t>
  </si>
  <si>
    <t>ThiÕt bÞ qu¶n lý&amp; TSC§ kh¸c</t>
  </si>
  <si>
    <t>- C¸c kho¶n dù phßng</t>
  </si>
  <si>
    <t>- L·i, lç chªnh lÖch tû gi¸ hèi ®o¸i ch­a thùc hiÖn</t>
  </si>
  <si>
    <t>- L·i, lç tõ ho¹t ®éng ®Çu t­</t>
  </si>
  <si>
    <t>- Chi phÝ l·i vay</t>
  </si>
  <si>
    <t>3. Lîi nhuËn tõ ho¹t ®éng kinh doanh tr­íc thay ®æi vèn l­u ®éng</t>
  </si>
  <si>
    <t>08</t>
  </si>
  <si>
    <t>- T¨ng, gi¶m c¸c kho¶n ph¶i thu</t>
  </si>
  <si>
    <t>09</t>
  </si>
  <si>
    <t>- T¨ng, gi¶m hµng tån kho</t>
  </si>
  <si>
    <t>- T¨ng, gi¶m c¸c kho¶n ph¶i tr¶ (Kh«ng kÓ l·i vay ph¶i tr¶, thuÕ thu nhËp ph¶i nép)</t>
  </si>
  <si>
    <t>- T¨ng, gi¶m chi phÝ tr¶ tr­íc</t>
  </si>
  <si>
    <t>- TiÒn l·i vay ®· tr¶</t>
  </si>
  <si>
    <t>- ThuÕ thu nhËp doanh nghiÖp ®· nép</t>
  </si>
  <si>
    <t>Lª Träng NghÜa</t>
  </si>
  <si>
    <t>Kho¶n ®Çu t­ vµo c«ng ty con, c«ng ty liªn kÕt ®­îc kÕ to¸n theo ph­¬ng ph¸p gi¸ gèc. Lîi nhuËn thuÇn ®­îc chia tõ c«ng ty con, c«ng ty liªn kÕt ph¸t sinh sau ngµy ®Çu t­ ghi nhËn vµo b¸o c¸o kÕt qu¶ ho¹t ®éng kinh doanh. C¸c kho¶n ®­îc chia kh¸c lµ kho¶n gi¶m trõ gi¸ gèc ®Çu t­.</t>
  </si>
  <si>
    <t xml:space="preserve">Ghi nhËn chi phÝ ph¶i tr¶, trÝch tr­íc chi phÝ söa ch÷a lín: </t>
  </si>
  <si>
    <t>ThÆng d­ vèn cæ phÇn ®­îc ghi nhËn theo sè chªnh lÖch cao h¬n hoÆc thÊp h¬n gi÷a gi¸ trÞ thùc tÕ ph¸t hµnh vµ mÖnh gi¸ cæ phÇn trong c¸c ®ît ph¸t hµnh.</t>
  </si>
  <si>
    <t>Nguyªn t¾c trÝch lËp c¸c kho¶n dù tr÷ c¸c quü tõ lîi nhuËn sau thuÕ:</t>
  </si>
  <si>
    <t>Nguyªn t¾c ghi nhËn vèn chñ së h÷u:</t>
  </si>
  <si>
    <t>Lîi nhuËn sau thuÕ thu nhËp doanh nghiÖp sau khi ®­îc Héi ®ång qu¶n trÞ phª duyÖt ®­îc trÝch c¸c quü theo §iÒu lÖ C«ng ty vµ c¸c quy ®Þnh ph¸p lý hiÖn hµnh, sÏ ph©n chia cho c¸c bªn theo tû lÖ gãp vèn.</t>
  </si>
  <si>
    <t>C«ng ty TNHH thiÕt bÞ c«ng nghiÖp nÆng MICO</t>
  </si>
  <si>
    <t>Cty TNHH thuong m¹i vËn t¶i Hµ S¬n</t>
  </si>
  <si>
    <t>26.</t>
  </si>
  <si>
    <t>VI.25</t>
  </si>
  <si>
    <t>VI.26</t>
  </si>
  <si>
    <t>GiÊy chøng nhËn ®¨ng kÝ hµnh nghÒ kiÓm to¸n sè: 0313-2013-045-1</t>
  </si>
  <si>
    <t>c«ng ty TNHH kiÓm to¸n vµ t­ vÊn th¨ng long - t.d.k</t>
  </si>
  <si>
    <t>tõ ngµy 01/01/2013 ®Õn ngµy 30/06/2013</t>
  </si>
  <si>
    <t>Kú kÕ to¸n nµy b¾t ®Çu tõ ngµy 01/01/2013 kÕt thóc ngµy 30/06/2013.</t>
  </si>
  <si>
    <t>1.1.</t>
  </si>
  <si>
    <t>1.2.</t>
  </si>
  <si>
    <t xml:space="preserve">               ThiÕt bÞ qu¶n lý</t>
  </si>
  <si>
    <t>Cty TNHH §T&amp;KT KS Sotraco</t>
  </si>
  <si>
    <t>Cty CP thñy ®iÖn cao nguyªn S§</t>
  </si>
  <si>
    <t>Cty CP thñy ®iÖn §r¨k §rinh</t>
  </si>
  <si>
    <t>Cty CP DV V.t¶i DK Cöu Long</t>
  </si>
  <si>
    <t xml:space="preserve">Cty CP ®Çu t­ vµ x©y l¾p KhÝ </t>
  </si>
  <si>
    <t xml:space="preserve">Cty CP §T&amp;TM D.khÝ Nghi S¬n </t>
  </si>
  <si>
    <t>Cty CP T.c«ng CG&amp;LM dÇu khÝ</t>
  </si>
  <si>
    <t>Ng©n hµng §T &amp; PT ViÖt Nam</t>
  </si>
  <si>
    <t>Chi tiÕt vèn ®Çu t­ cña chñ së h÷u</t>
  </si>
  <si>
    <t>C.</t>
  </si>
  <si>
    <t>Cæ tøc, lîi nhuËn ®· chia</t>
  </si>
  <si>
    <t>D.</t>
  </si>
  <si>
    <t>Cæ tøc</t>
  </si>
  <si>
    <t xml:space="preserve"> * Gi¸ trÞ tr¸i phiÕu ®· chuyÓn thµnh cæ phiÕu trong n¨m</t>
  </si>
  <si>
    <t>Cæ tøc ®· c«ng bè sau ngµy kÕt thóc kú kÕ to¸n n¨m:</t>
  </si>
  <si>
    <t>Cæ tøc ®· c«ng bè trªn cæ phiÕu phæ th«ng:</t>
  </si>
  <si>
    <t>Cæ tøc ®· c«ng bè trªn cæ phiÕu ­u ®·i:</t>
  </si>
  <si>
    <t>Cæ tøc cña cæ phiÕu ­u ®·i luü kÕ ch­a ®­îc ghi nhËn:</t>
  </si>
  <si>
    <t>Cæ phiÕu</t>
  </si>
  <si>
    <t xml:space="preserve"> - Sè l­îng cæ phiÕu ®¨ng ký ph¸t hµnh</t>
  </si>
  <si>
    <t xml:space="preserve"> + Cæ phiÕu phæ th«ng</t>
  </si>
  <si>
    <t xml:space="preserve"> + Cæ phiÕu ­u ®·i</t>
  </si>
  <si>
    <t xml:space="preserve"> - Sè l­îng cæ phiÕu b¸n ra c«ng chóng</t>
  </si>
  <si>
    <t>Th«ng tin so s¸nh</t>
  </si>
  <si>
    <t xml:space="preserve">Sè cuèi n¨m </t>
  </si>
  <si>
    <t xml:space="preserve">Quü dù phßng tµi chÝnh </t>
  </si>
  <si>
    <t>ChuyÓn nguån kinh phÝ sang Nguån vèn §TXDCB</t>
  </si>
  <si>
    <t>8. T¨ng, gi¶m tµi s¶n cè ®Þnh h÷u h×nh</t>
  </si>
  <si>
    <t xml:space="preserve"> - T¨ng vèn trong n¨m tr­íc</t>
  </si>
  <si>
    <t xml:space="preserve"> - L·i trong n¨m tr­íc</t>
  </si>
  <si>
    <t xml:space="preserve"> - T¨ng vèn trong kú nµy</t>
  </si>
  <si>
    <t xml:space="preserve"> - L·i trong kú</t>
  </si>
  <si>
    <t xml:space="preserve"> - Gi¶m vèn trong kú nµy</t>
  </si>
  <si>
    <t xml:space="preserve"> - Lç trong kú</t>
  </si>
  <si>
    <t>32.</t>
  </si>
  <si>
    <t>Ph¶i thu kh¸ch hµng</t>
  </si>
  <si>
    <t>Tr¶ tr­íc cho ng­êi b¸n</t>
  </si>
  <si>
    <t>Ph¶i tr¶ kh¸ch hµng</t>
  </si>
  <si>
    <t>Sè d­ 31/12/08</t>
  </si>
  <si>
    <t>Sè ®èi chiÕu</t>
  </si>
  <si>
    <t>Tû lÖ §C</t>
  </si>
  <si>
    <t>b¸o c¸o kÕt qu¶ ho¹t ®éng kinh doanh gi÷a niªn ®é</t>
  </si>
  <si>
    <t>Quý II</t>
  </si>
  <si>
    <t>Lòy kÕ tõ ®Çu n¨m ®Õn cuèi kú</t>
  </si>
  <si>
    <t>B¸o c¸o l­u chuyÓn tiÒn tÖ gi÷a niªn ®é</t>
  </si>
  <si>
    <t xml:space="preserve">Trang </t>
  </si>
  <si>
    <t>B¸o c¸o kÕt qu¶ c«ng t¸c so¸t xÐt</t>
  </si>
  <si>
    <t>B¸o c¸o tµi chÝnh ®· ®­îc so¸t xÐt</t>
  </si>
  <si>
    <t>B¸o c¸o kÕt qu¶ ho¹t ®éng kinh doanh gi÷a niªn ®é</t>
  </si>
  <si>
    <t>B¶ng c©n ®èi kÕ to¸n gi÷a niªn ®é</t>
  </si>
  <si>
    <t>B¶n thuyÕt minh b¸o c¸o tµi chÝnh gi÷a niªn ®é</t>
  </si>
  <si>
    <t>C«ng bè tr¸ch nhiÖm cña Ban Gi¸m ®èc ®èi víi b¸o c¸o tµi chÝnh</t>
  </si>
  <si>
    <t>Lùa chän c¸c chÝnh s¸ch kÕ to¸n thÝch hîp vµ ¸p dông c¸c chÝnh s¸ch nµy mét c¸ch nhÊt qu¸n;</t>
  </si>
  <si>
    <t>§­a ra c¸c ®¸nh gi¸ vµ dù ®o¸n hîp lý vµ thËn träng;</t>
  </si>
  <si>
    <t>LËp c¸c b¸o c¸o tµi chÝnh dùa trªn c¬ së ho¹t ®éng kinh doanh liªn tôc. C«ng ty tiÕp tôc ho¹t ®éng vµ thùc hiÖn kÕ ho¹ch s¶n xuÊt kinh doanh cña m×nh trong n¨m tµi chÝnh tiÕp theo;</t>
  </si>
  <si>
    <t xml:space="preserve">5. C¸c kho¶n ph¶i thu kh¸c </t>
  </si>
  <si>
    <t xml:space="preserve">6. Dù phßng c¸c kho¶n ph¶i thu khã ®ßi (*) </t>
  </si>
  <si>
    <t xml:space="preserve">5. Tµi s¶n ng¾n h¹n kh¸c </t>
  </si>
  <si>
    <t>7. Quü ®Çu t­ ph¸t triÓn</t>
  </si>
  <si>
    <t>8. Quü dù phßng tµi chÝnh</t>
  </si>
  <si>
    <t>10. Lîi nhuËn ch­a ph©n phèi</t>
  </si>
  <si>
    <t xml:space="preserve">3. Ph¶i thu néi bé dµi h¹n </t>
  </si>
  <si>
    <t>- Khoản vay ngân hàng thương mại cổ phần Đầu tư và phát triển  Việt Nam – Chi nhánh Cầu Giấy để bổ sung vốn lưu động để thực hiện sản xuất kinh doanh. Khoản vay này được đảm bảo bằng việc thế chấp quyền sử dụng đất và tài sản trên đất của bên thứ ba, giá trị tài sản.</t>
  </si>
  <si>
    <t>03 - 05 n¨m</t>
  </si>
  <si>
    <t>06 - 10 n¨m</t>
  </si>
  <si>
    <t>Trong kỳ Công ty có dùng một số tài sản để thế chấp vay vốn ngân hàng, cụ thể như sau:</t>
  </si>
  <si>
    <t>- Khoản vay Ngân hàng Thương mại cổ phần Quốc Tế Việt Nam – Trung tâm kinh doanh để bổ sung vốn lưu động thực hiện sản xuất kinh doanh. Khoản vay này được bảo đảm bằng tín chấp.</t>
  </si>
  <si>
    <t xml:space="preserve">Chi phÝ ®i vay liªn quan trùc tiÕp ®Õn viÖc ®Çu t­ x©y dùng hoÆc s¶n xuÊt tµi s¶n dë dang ®­îc tÝnh vµo gi¸ trÞ cña tµi s¶n ®ã (®­îc vèn ho¸), bao gåm c¸c kho¶n l·i tiÒn vay, ph©n bæ c¸c kho¶n chiÕt khÊu hoÆc phô tréi khi ph¸t hµnh tr¸i phiÕu, c¸c kho¶n chi phÝ phô ph¸t sinh liªn quan tíi qu¸ tr×nh lµm thñ tôc vay. </t>
  </si>
  <si>
    <t>ViÖc vèn ho¸ chi phÝ ®i vay sÏ ®­îc t¹m ngõng l¹i trong c¸c giai ®o¹n mµ qu¸ tr×nh ®Çu t­ x©y dùng hoÆc s¶n xuÊt tµi s¶n dë dang bÞ gi¸n ®o¹n, trõ khi sù gi¸n ®o¹n ®ã lµ cÇn thiÕt.</t>
  </si>
  <si>
    <t>ViÖc vèn ho¸ chi phÝ ®i vay sÏ chÊm døt khi c¸c ho¹t ®éng chñ yÕu cÇn thiÕt cho viÖc chuÈn bÞ ®­a tµi s¶n dë dang vµo sö dông hoÆc b¸n ®· hoµn thµnh. Chi phÝ ®i vay ph¸t sinh sau ®ã sÏ ®­îc ghi nhËn lµ chi phÝ s¶n xuÊt, kinh doanh trong kú khi ph¸t sinh.</t>
  </si>
  <si>
    <t>Cty TNHH TM &amp; DVCN Lam Ph­¬ng</t>
  </si>
  <si>
    <t>C«ng ty TNHH TM VËn t¶i Hång Trang</t>
  </si>
  <si>
    <t>C«ng ty TNHH L­¬ng Thµnh §«ng</t>
  </si>
  <si>
    <t>C«ng ty CP Cöa sæ nhùa Ch©u ¢u</t>
  </si>
  <si>
    <t>C«ng ty CP x©y dùng &amp; Th­¬ng m¹i S«ng §µ</t>
  </si>
  <si>
    <t>1. Sè d­ ®Çu n¨m</t>
  </si>
  <si>
    <t>3. Sè gi¶m trong kú</t>
  </si>
  <si>
    <t>Cty Cæ phÇn ®Çu t­ vµ x©y l¾p khÝ</t>
  </si>
  <si>
    <t>ThuÕ xuÊt nhËp khÈu</t>
  </si>
  <si>
    <t>Ph¶i tr¶ c¸c dù ¸n do Khèi c¬ quan qu¶n lý</t>
  </si>
  <si>
    <t xml:space="preserve">4. Ph¶i thu dµi h¹n kh¸c </t>
  </si>
  <si>
    <t>5. Dù phßng ph¶i thu dµi h¹n khã ®ßi (*)</t>
  </si>
  <si>
    <t xml:space="preserve"> 6. Dù to¸n chi sù nghiÖp, dù ¸n</t>
  </si>
  <si>
    <t xml:space="preserve">4. ThuÕ vµ c¸c kho¶n ph¶i nép Nhµ n­íc </t>
  </si>
  <si>
    <t>5. Ph¶i tr¶ c«ng nh©n viªn</t>
  </si>
  <si>
    <t>6. Chi phÝ ph¶i tr¶</t>
  </si>
  <si>
    <t>7. Ph¶i tr¶ néi bé</t>
  </si>
  <si>
    <t>N¨m 2008</t>
  </si>
  <si>
    <t>§VT</t>
  </si>
  <si>
    <t>1. Bè trÝ c¬ cÊu tµi s¶n vµ nguån vèn</t>
  </si>
  <si>
    <t>1.1. Bè trÝ c¬ cÊu tµi s¶n</t>
  </si>
  <si>
    <t>Cty TNHH vËn t¶i vµ XD giao th«ng</t>
  </si>
  <si>
    <t>Cty TNHH TM vµ x©y dùng Hoµng Minh Ph¸t</t>
  </si>
  <si>
    <t>CN TCT VËn t¶i thñy t¹i Hßa B×nh</t>
  </si>
  <si>
    <t>DNTN Thµnh Long</t>
  </si>
  <si>
    <t>DNTN ViÖt Hoµng</t>
  </si>
  <si>
    <t>C«ng ty CP XD vµ TM Vinh Phó ThÞnh</t>
  </si>
  <si>
    <t>C«ng ty CP Th­¬ng M¹i B×nh Minh ViÖt</t>
  </si>
  <si>
    <t>C«ng ty CP SX XD &amp; TM Tr­êng Thµnh</t>
  </si>
  <si>
    <t>C«ng ty CP INOX S&amp;H</t>
  </si>
  <si>
    <t>- Tõ n¨m 2010, C«ng ty thùc hiÖn ®iÒu chuyÓn qua l¹i tõ C«ng ty mÑ sang C«ng ty con mét sè TSC§ HH nh­ng kh«ng thùc hiÖn thñ tôc mua b¸n vµ xuÊt hãa ®¬n do C«ng ty ch­a hiÓu ®Çy ®ñ quy ®Þnh cña chÕ ®é kÕ to¸n vÒ TSC§ hiÖn hµnh.</t>
  </si>
  <si>
    <t>- Liªn quan ®Õn viÖc ®iÒu chuyÓn TSC§ trong kú cña C«ng ty con vÒ C«ng ty mÑ gi¸ trÞ lµ 21.400.555.665 ®ång, lµ nh÷ng tµi s¶n ®· ®­îc ®iÒu chuyÓn qua l¹i tõ n¨m 2010 gi÷a C«ng ty con vµ C«ng ty mÑ nh­ng C«ng ty kh«ng thùc hiÖn thñ tôc mua b¸n vµ xuÊt hãa ®¬n gi÷a 2 C«ng ty ®éc lËp, theo ®ã chi phÝ khÊu hao tÝnh trÝch tõ nh÷ng tµi s¶n nµy ®­îc ghi nhËn ch­a phï hîp víi quy ®Þnh. Trong ph¹m vi so¸t xÐt cña m×nh, chóng t«i kh«ng thùc hiÖn viÖc x¸c ®Þnh l¹i gi¸ trÞ tõ nh÷ng n¨m tr­íc.</t>
  </si>
  <si>
    <r>
      <t>Nguyªn t¾c ghi nhËn:</t>
    </r>
    <r>
      <rPr>
        <sz val="11.5"/>
        <rFont val=".VnTime"/>
        <family val="2"/>
      </rPr>
      <t xml:space="preserve"> C¸c kho¶n ph¶i thu kh¸ch hµng, kho¶n tr¶ tr­íc cho ng­êi b¸n, ph¶i thu néi bé, vµ c¸c kho¶n ph¶i thu kh¸c t¹i thêi ®iÓm b¸o c¸o, nÕu:</t>
    </r>
  </si>
  <si>
    <t>Cty CP ®Çu t­ &amp; x©y dùng COMESS</t>
  </si>
  <si>
    <t>C¸c lo¹i thuÕ kh¸c thùc hiÖn theo qui ®Þnh hiÖn hµnh.</t>
  </si>
  <si>
    <t>Doanh thu b¸n hµng, cung cÊp dÞch vô ®­îc ghi nhËn khi ®ång thêi tháa m·n c¸c ®iÒu kiÖn sau:</t>
  </si>
  <si>
    <t>V.</t>
  </si>
  <si>
    <t>N0151</t>
  </si>
  <si>
    <t>Hµng mua ®ang ®i ®­êng</t>
  </si>
  <si>
    <t>Hµ Néi, ngµy 08 th¸ng 01 n¨m 2010</t>
  </si>
  <si>
    <t>PhÇn lín rñi ro vµ lîi Ých g¾n liÒn víi quyÒn së h÷u s¶n phÈm hoÆc hµng hãa ®· ®­îc chuyÓn giao cho ng­êi mua;</t>
  </si>
  <si>
    <t>C«ng ty kh«ng cßn n¾m gi÷ quyÒn qu¶n lý hµng hãa nh­ ng­êi së h÷u hµng hãa hoÆc quyÒn kiÓm so¸t hµng hãa;</t>
  </si>
  <si>
    <t>Doanh thu ®­îc x¸c ®Þnh t­¬ng ®èi ch¾c ch¾n;</t>
  </si>
  <si>
    <t>C«ng ty ®· thu ®­îc hoÆc sÏ thu ®­îc lîi Ých kinh tÕ tõ giao dÞch b¸n hµng;</t>
  </si>
  <si>
    <t>X¸c ®Þnh ®­îc chi phÝ liªn quan ®Õn giao dÞch b¸n hµng.</t>
  </si>
  <si>
    <t>Cã kh¶ n¨ng thu ®­îc lîi Ých kinh tÕ tõ giao dÞch ®ã;</t>
  </si>
  <si>
    <t>Doanh thu ®­îc x¸c ®Þnh t­¬ng ®èi ch¾c ch¾n.</t>
  </si>
  <si>
    <t>C¸c chØ tiªu ngoµi b¶ng c©n ®èi kÕ to¸n</t>
  </si>
  <si>
    <t xml:space="preserve"> 1. Tµi s¶n thuª ngoµi</t>
  </si>
  <si>
    <t xml:space="preserve"> 3. Hµng ho¸ nhËn b¸n hé, nhËn ký göi, ký c­îc</t>
  </si>
  <si>
    <t>Nguyªn gi¸ bÊt ®éng s¶n ®Çu t­</t>
  </si>
  <si>
    <t>S¶n xuÊt mãn ¨n, thøc ¨n chÕ biÕn s½n;</t>
  </si>
  <si>
    <t>X©y dùng nhµ c¸c lo¹i;</t>
  </si>
  <si>
    <t>B¸n bu«n vËt liÖu, thiÕt bÞ l¾p ®Æt kh¸c trong x©y dùng (chi tiÕt: b¸n bu«n xi m¨ng, g¹ch x©y, ngãi, c¸t, ®¸, sái, kinh x©y dùng);</t>
  </si>
  <si>
    <t>VËn t¶i hµng hãa b»ng ®­êng bé;</t>
  </si>
  <si>
    <t>ChÕ biÕn, b¶o qu¶n thÞt vµ c¸c s¶n phÈm tõ thÞt;</t>
  </si>
  <si>
    <t>L¾p ®Æt hÖ thèng cÊp, tho¸t n­íc, lß s­ëi vµ ®iÒu hßa kh«ng khÝ;</t>
  </si>
  <si>
    <t>B¸n bu«n kim lo¹i vµ quÆng kim lo¹i (chi tiÕt: B¸n bu«n s¾t, thÐp, quÆng kim lo¹i, tÊm lîp);</t>
  </si>
  <si>
    <t>B¸n bu«n nhiªn liÖu r¾n, láng, khÝ vµ c¸c s¶n phÈm liªn quan (chi tiÕt: b¸n bu«n x¨ng dÇu vµ c¸c s¶n phÈm liªn quan, khÝ c«ng nghiÖp, khÝ ga)</t>
  </si>
  <si>
    <t>ChÕ biÕn vµ b¶o qu¶n rau qu¶;</t>
  </si>
  <si>
    <t>Ch­ng, tinh cÊt vµ pha chÕ c¸c lo¹i r­îu m¹nh;</t>
  </si>
  <si>
    <t>T­ vÊn, m«i giíi, ®Êu gi¸ bÊt ®éng s¶n, ®Êu gi¸ quyÒn sö dông ®Êt (chi tiÕt: Kinh doanh dÞch vô bÊt ®éng s¶n nh­ dÞch vô sµn giao dÞch bÊt ®éng s¶n, t­ vÊn, m«i giíi, ®Þnh gi¸ bÊt ®éng s¶n, qu¶ng c¸o bÊt ®éng s¶n, qu¶n lý bÊt ®éng s¶n);</t>
  </si>
  <si>
    <t>Kinh doanh bÊt ®éng s¶n, quyÒn sö dông ®Êt thuéc chñ së h÷u, chñ sö dông hoÆc ®i thuª (chi tiÕt: Kinh doanh bÊt ®éng s¶n);</t>
  </si>
  <si>
    <t>Ho¹t ®éng thiÕt kÕ chuyªn dông (chi tiÕt: ho¹t ®éng trang trÝ néi thÊt);</t>
  </si>
  <si>
    <t>Tr­ëng nhãm KiÓm to¸n</t>
  </si>
  <si>
    <t>L·i c¬ b¶n trªn cæ phiÕu</t>
  </si>
  <si>
    <t>C«ng ty CP x©y dùng Th¨ng Long</t>
  </si>
  <si>
    <t>CTy CP S«ng Hång MiÒn Trung</t>
  </si>
  <si>
    <t>CN Cty CP ®Çu t­ &amp; XL DÇu KhÝ Sµi Gßn</t>
  </si>
  <si>
    <t>Cty TNHH MTV 319 Bé Quèc Phßng</t>
  </si>
  <si>
    <t>- Nh­ b¸o c¸o cña Ban Gi¸m ®èc t¹i môc Sù kiÖn ph¸t sinh trong n¨m tµi chÝnh, nh÷ng kho¶n ph¶i thu kh¸ch hµng lµ cã kh¶ n¨ng thu håi ®­îc nªn C«ng ty kh«ng trÝch lËp dù phßng ph¶i thu khã ®ßi t¹i thêi ®iÓm 31/12/2012 vµ 30/06/2013. Tuy nhiªn, víi c¸c tµi liÖu ®· ®­îc cung cÊp, chóng t«i kh«ng ®ñ c¨n cø ®Ó x¸c ®Þnh gi¸ trÞ cÇn ph¶i trÝch lËp theo quy ®Þnh hiÖn hµnh t¹i thêi ®iÓm 30/06/2013.</t>
  </si>
  <si>
    <t>X¸c ®Þnh ®­îc phÇn c«ng viÖc ®· hoµn thµnh vµo ngµy lËp B¶ng c©n ®èi kÕ to¸n;</t>
  </si>
  <si>
    <r>
      <t>Doanh thu ho¹t ®éng tµi chÝnh</t>
    </r>
    <r>
      <rPr>
        <sz val="11.5"/>
        <rFont val=".VnTime"/>
        <family val="2"/>
      </rPr>
      <t>: Doanh thu ph¸t sinh tõ tiÒn l·i, tiÒn tiÒn b¸n cæ phiÕu ®Çu t­, cæ tøc, lîi nhuËn ®­îc chia vµ c¸c kho¶n doanh thu ho¹t ®éng tµi chÝnh kh¸c ®­îc ghi nhËn khi tháa m·n ®ång thêi hai ®iÒu kiÖn sau:</t>
    </r>
  </si>
  <si>
    <t>Nguyªn t¾c ghi nhËn chi phÝ thuÕ thu nhËp hiÖn hµnh</t>
  </si>
  <si>
    <t>H×nh thøc kÕ to¸n ¸p dông: 
C«ng ty ¸p dông h×nh thøc sæ kÕ to¸n: Trªn  m¸y vi tÝnh.</t>
  </si>
  <si>
    <t>Cã thêi h¹n thu håi hoÆc ®¸o h¹n kh«ng qua 3 th¸ng kÓ tõ ngµy mua kho¶n ®Çu t­ ®ã ®­îc coi lµ "t­¬ng ®­¬ng tiÒn"</t>
  </si>
  <si>
    <t>NguyÔn TiÕn Dòng</t>
  </si>
  <si>
    <t>Tæng Gi¸m ®èc</t>
  </si>
  <si>
    <t>V¨n phßng</t>
  </si>
  <si>
    <t>Má</t>
  </si>
  <si>
    <t>CK2</t>
  </si>
  <si>
    <t>Hµ Nam</t>
  </si>
  <si>
    <t>Nhµ m¸y</t>
  </si>
  <si>
    <r>
      <t>1.</t>
    </r>
    <r>
      <rPr>
        <b/>
        <sz val="12"/>
        <rFont val="Times New Roman"/>
        <family val="1"/>
      </rPr>
      <t xml:space="preserve">         </t>
    </r>
  </si>
  <si>
    <r>
      <t>·</t>
    </r>
    <r>
      <rPr>
        <sz val="12"/>
        <rFont val="Times New Roman"/>
        <family val="1"/>
      </rPr>
      <t xml:space="preserve">            </t>
    </r>
  </si>
  <si>
    <r>
      <t>KÝnh göi</t>
    </r>
    <r>
      <rPr>
        <b/>
        <u/>
        <sz val="12"/>
        <rFont val=".VnTime"/>
        <family val="2"/>
      </rPr>
      <t>:</t>
    </r>
  </si>
  <si>
    <t>Tr×nh bµy nguyªn t¾c ph©n phèi lîi nhuËn</t>
  </si>
  <si>
    <t>X©y dùng c«ng tr×nh kü thuËt d©n dông kh¸c (chi tiÕt: c«ng nghiÖp, c«ng tr×nh thñy lîi, thñy ®iÖn, x©y dùng c«ng tr×nh ®­êng d©y vµ tr¹m biÕn ¸p ®Õn 110KV);</t>
  </si>
  <si>
    <t>L¾p ®Æt hÖ thèng ®iÖn;</t>
  </si>
  <si>
    <t>Gia c«ng c¬ khÝ, xö lý vµ tr¸ng phñ kim lo¹i;</t>
  </si>
  <si>
    <t>Söa ch÷a c¸c s¶n phÈm kim lo¹i ®óc s½n;</t>
  </si>
  <si>
    <t>DÞch vô l­u tró ng¾n ngµy (chi tiÕt: kh¸ch s¹n)</t>
  </si>
  <si>
    <t>S¶n xuÊt xi m¨ng, v«i vµ th¹ch cao;</t>
  </si>
  <si>
    <t>S¶n xuÊt r­îu vang;</t>
  </si>
  <si>
    <t>S¶n xuÊt c¸c lo¹i b¸nh tõ bét;</t>
  </si>
  <si>
    <t>VËn t¶i hµng hãa ®­êng thñy néi ®Þa;</t>
  </si>
  <si>
    <t>Kinh doanh dÞch vô l÷ hµnh néi ®Þa vµ quèc tÕ, thiÕt kÕ néi thÊt c«ng tr×nh, lËp dù ¸n ®Çu t­ x©y dùng, gi¸m s¸t thi c«ng x©y dùng c«ng tr×nh d©n dông vµ c«ng nghiÖp lÜnh vùc x©y dùng vµ hoµn thiÖn, thiÕt kÕ kiÕn tróc c«ng tr×nh, thiÕt kÕ quy ho¹ch x©y dùng, xuÊt nhËp c¸c mÆt hµng c«ng ty kinh doanh (trõ c¸c mÆt hµng nhµ n­íc cÊm);</t>
  </si>
  <si>
    <r>
      <t xml:space="preserve">LÜnh vùc kinh doanh: </t>
    </r>
    <r>
      <rPr>
        <i/>
        <sz val="11.5"/>
        <rFont val=".VnTime"/>
        <family val="2"/>
      </rPr>
      <t>X©y l¾p, s¶n xuÊt c«ng nghiÖp vµ th­¬ng m¹i.</t>
    </r>
  </si>
  <si>
    <t>- Chi nh¸nh §ång Nai</t>
  </si>
  <si>
    <t xml:space="preserve">  - C¸c kho¶n t­¬ng ®­¬ng tiÒn</t>
  </si>
  <si>
    <t>+ NH TMCP Qu©n ®éi - CN Mü §×nh</t>
  </si>
  <si>
    <t>+ NH §T&amp;PT VN - CN Hµ T©y</t>
  </si>
  <si>
    <t>Cty CP Xi m¨ng Hoµng Mai</t>
  </si>
  <si>
    <t>Cty CP S«ng §µ 7</t>
  </si>
  <si>
    <t>Cty CP S«ng §µ 9</t>
  </si>
  <si>
    <t>Cty CP S«ng §µ 6</t>
  </si>
  <si>
    <t>Cty CP T§ Hßa Ph¸t</t>
  </si>
  <si>
    <t>Cty CP S«ng §µ 5</t>
  </si>
  <si>
    <t xml:space="preserve">Cty CP Xi m¨ng S«ng §µ </t>
  </si>
  <si>
    <t>Cty CP §TXD&amp;PT §« thÞ S.§µ</t>
  </si>
  <si>
    <t>Cty CP CTGT S«ng §µ</t>
  </si>
  <si>
    <r>
      <t xml:space="preserve">Cty CP ThÐp ViÖt </t>
    </r>
    <r>
      <rPr>
        <sz val="11.5"/>
        <rFont val=".VnTimeH"/>
        <family val="2"/>
      </rPr>
      <t>ý</t>
    </r>
  </si>
  <si>
    <t>Cty CP S«ng §µ 10</t>
  </si>
  <si>
    <t>- Chi nh¸nh Hå ChÝ Minh</t>
  </si>
  <si>
    <t>- Hµng hãa</t>
  </si>
  <si>
    <t>- Chi nh¸nh HCM</t>
  </si>
  <si>
    <t>Mua tµi s¶n b»ng c¸ch nhËn c¸c kho¶n nî liªn quan trùc tiÕp hoÆc th«ng qua nghiÖp vô thuª tµi chÝnh</t>
  </si>
  <si>
    <t xml:space="preserve"> - </t>
  </si>
  <si>
    <t>Mua doanh nghiÖp th«ng qua ph¸t hµnh cæ phiÕu</t>
  </si>
  <si>
    <t>ChuyÓn nî thµnh vèn chñ së h÷u</t>
  </si>
  <si>
    <t>Mua vµ thanh lý c«ng ty con hoÆc ®¬n vÞ kinh doanh kh¸c trong kú b¸o c¸o</t>
  </si>
  <si>
    <t>Tæng gi¸ trÞ mua hoÆc thanh lý</t>
  </si>
  <si>
    <t>PhÇn gi¸ trÞ mua hoÆc thanh lý ®­îc thanh to¸n b»ng tiÒn vµ c¸c kho¶n t­¬ng ®­¬ng tiÒn</t>
  </si>
  <si>
    <t xml:space="preserve">            </t>
  </si>
  <si>
    <t>- §èi víi c¸c kho¶n c«ng nî ph¶i thu kh¸ch hµng t¹i thêi ®iÓm 31/12/2012 vµ 30/06/2013, c«ng ty kh«ng thùc hiÖn viÖc trÝch lËp dù phßng ph¶i thu khã ®ßi lµ do c¸c kho¶n ph¶i thu nµy chñ yÕu lµ cña Tæng c«ng ty S«ng §µ vµ TËp ®oµn DÇu khÝ quèc gia ViÖt Nam. ViÖc thanh, quyÕt to¸n phô thuéc vµo Ng©n s¸ch nhµ n­íc cÊp vµ t×nh h×nh thanh quyÕt to¸t cña c¸c c«ng tr×nh Nhµ n­íc nªn kh¶ n¨ng thu håi ®­îc lµ ch¾c ch¾n nh­ng chËm. C«ng ty cam kÕt chÞu tr¸ch nhiÖm tr­íc c¬ quan chøc n¨ng vÒ quyÕt ®Þnh kh«ng trÝch lËp dù phßng nªu trªn.</t>
  </si>
  <si>
    <t xml:space="preserve">1. TiÒn </t>
  </si>
  <si>
    <t xml:space="preserve">2. C¸c kho¶n t­¬ng ®­¬ng tiÒn </t>
  </si>
  <si>
    <t xml:space="preserve">II. C¸c kho¶n ®Çu t­ tµi chÝnh ng¾n h¹n </t>
  </si>
  <si>
    <t>1. §Çu t­ ng¾n h¹n</t>
  </si>
  <si>
    <t>III. C¸c kho¶n ph¶i thu</t>
  </si>
  <si>
    <t>1. Ph¶i thu kh¸ch hµng</t>
  </si>
  <si>
    <t xml:space="preserve">IV. Hµng tån kho </t>
  </si>
  <si>
    <t xml:space="preserve">1. Hµng tån kho </t>
  </si>
  <si>
    <t xml:space="preserve">2. Dù phßng gi¶m gi¸ hµng tån kho (*) </t>
  </si>
  <si>
    <t xml:space="preserve">V. Tµi s¶n ng¾n h¹n kh¸c </t>
  </si>
  <si>
    <t>1. Chi phÝ tr¶ tr­íc ng¾n h¹n</t>
  </si>
  <si>
    <t xml:space="preserve">1. Ph¶i thu dµi h¹n cña kh¸ch hµng </t>
  </si>
  <si>
    <t>II. Tµi s¶n cè ®Þnh</t>
  </si>
  <si>
    <t>1. Tµi s¶n cè ®Þnh h÷u h×nh</t>
  </si>
  <si>
    <t xml:space="preserve">2. Tµi s¶n cè ®Þnh thuª tµi chÝnh </t>
  </si>
  <si>
    <t>III. BÊt ®éng s¶n ®Çu t­</t>
  </si>
  <si>
    <t>2. §Çu t­ vµo c«ng ty liªn kÕt, liªn doanh</t>
  </si>
  <si>
    <t>1. §Çu t­ vµo c«ng ty con</t>
  </si>
  <si>
    <t>1. Chi phÝ tr¶ tr­íc dµi h¹n</t>
  </si>
  <si>
    <t>2. Tµi s¶n thuÕ thu nhËp ho·n l¹i</t>
  </si>
  <si>
    <t>Tæng céng tµi s¶n</t>
  </si>
  <si>
    <t xml:space="preserve">I. C¸c kho¶n ph¶i thu dµi h¹n </t>
  </si>
  <si>
    <t>Vay b»ng VND</t>
  </si>
  <si>
    <t>Vay b»ng USD</t>
  </si>
  <si>
    <t>+ NH§T &amp; PT VN - CN Hµ T©y</t>
  </si>
  <si>
    <t>Vay b»ng EUR</t>
  </si>
  <si>
    <t>- TiÒn thu kh¸c tõ ho¹t ®éng kinh doanh</t>
  </si>
  <si>
    <t>- TiÒn chi kh¸c tõ ho¹t ®éng kinh doanh</t>
  </si>
  <si>
    <t>2. TiÒn chi tr¶ vèn gãp cho c¸c chñ së h÷u, mua l¹i cæ phiÕu cña DN ®· ph¸t hµnh</t>
  </si>
  <si>
    <t>LËp vµ tr×nh bµy b¸o c¸o tµi chÝnh trªn c¬ së tu©n thñ c¸c chuÈn mùc kÕ to¸n, chÕ ®é kÕ to¸n vµ c¸c quy ®Þnh cã liªn quan;</t>
  </si>
  <si>
    <t>Sè cuèi kú</t>
  </si>
  <si>
    <t>Ban Tæng Gi¸m ®èc kh¼ng ®Þnh r»ng, C«ng ty sÏ tiÕp tôc ho¹t ®éng trong kú ho¹t ®éng tiÕp theo.</t>
  </si>
  <si>
    <t>C¸c nghiÖp vô dù phßng rñi ro hèi ®o¸i</t>
  </si>
  <si>
    <t>(TiÕp theo)</t>
  </si>
  <si>
    <t>Nguån vèn</t>
  </si>
  <si>
    <t>B. VèN CHñ Së H÷U</t>
  </si>
  <si>
    <t>a. nî ph¶i tr¶</t>
  </si>
  <si>
    <t>I. Nî ng¾n h¹n</t>
  </si>
  <si>
    <t>1. Vay vµ nî ng¾n h¹n</t>
  </si>
  <si>
    <t>II. Nî dµi h¹n</t>
  </si>
  <si>
    <t>1. Ph¶i tr¶ dµi h¹n ng­êi b¸n</t>
  </si>
  <si>
    <t>1. Vèn ®Çu t­ cña chñ së h÷u</t>
  </si>
  <si>
    <t>2. ThÆng d­ vèn cæ phÇn</t>
  </si>
  <si>
    <t>II. Nguån kinh phÝ vµ quü kh¸c</t>
  </si>
  <si>
    <t>Tæng céng nguån vèn</t>
  </si>
  <si>
    <t>I. Vèn chñ së h÷u</t>
  </si>
  <si>
    <t>3. Ng­êi mua tr¶ tiÒn tr­íc</t>
  </si>
  <si>
    <t>B¸o c¸o tµi chÝnh</t>
  </si>
  <si>
    <t>chØ tiªu</t>
  </si>
  <si>
    <t>02</t>
  </si>
  <si>
    <t>03</t>
  </si>
  <si>
    <t>+ ChiÕt khÊu th­¬ng m¹i</t>
  </si>
  <si>
    <t>+ Gi¶m gi¸ hµng b¸n</t>
  </si>
  <si>
    <t>+ Hµng b¸n bÞ tr¶ l¹i</t>
  </si>
  <si>
    <t>07</t>
  </si>
  <si>
    <t>1.</t>
  </si>
  <si>
    <t>10</t>
  </si>
  <si>
    <t>2.</t>
  </si>
  <si>
    <t>Gi¸ vèn hµng b¸n</t>
  </si>
  <si>
    <t>3.</t>
  </si>
  <si>
    <t>20</t>
  </si>
  <si>
    <t>4.</t>
  </si>
  <si>
    <t>5.</t>
  </si>
  <si>
    <t>Chi phÝ tµi chÝnh</t>
  </si>
  <si>
    <t>21</t>
  </si>
  <si>
    <t>23</t>
  </si>
  <si>
    <t>6.</t>
  </si>
  <si>
    <t>Chi phÝ b¸n hµng</t>
  </si>
  <si>
    <t>22</t>
  </si>
  <si>
    <t>7.</t>
  </si>
  <si>
    <t>Chi phÝ qu¶n lý doanh nghiÖp</t>
  </si>
  <si>
    <t>8.</t>
  </si>
  <si>
    <t>30</t>
  </si>
  <si>
    <t>9.</t>
  </si>
  <si>
    <t>Thu nhËp kh¸c</t>
  </si>
  <si>
    <t>24</t>
  </si>
  <si>
    <t>10.</t>
  </si>
  <si>
    <t>Chi phÝ kh¸c</t>
  </si>
  <si>
    <t>25</t>
  </si>
  <si>
    <t>11.</t>
  </si>
  <si>
    <t>Lîi nhuËn kh¸c</t>
  </si>
  <si>
    <t>40</t>
  </si>
  <si>
    <t>12.</t>
  </si>
  <si>
    <t>50</t>
  </si>
  <si>
    <t>13.</t>
  </si>
  <si>
    <t>14.</t>
  </si>
  <si>
    <t>15.</t>
  </si>
  <si>
    <t>51</t>
  </si>
  <si>
    <t>16.</t>
  </si>
  <si>
    <t>60</t>
  </si>
  <si>
    <t>N¨m tr­íc</t>
  </si>
  <si>
    <t>Doanh thu b¸n hµng vµ cung cÊp dÞch vô</t>
  </si>
  <si>
    <t>Lîi nhuËn thuÇn tõ ho¹t ®éng kinh doanh</t>
  </si>
  <si>
    <t>Tæng lîi nhuËn kÕ to¸n tr­íc thuÕ</t>
  </si>
  <si>
    <t>Lîi nhuËn sau thuÕ thu nhËp doanh nghiÖp</t>
  </si>
  <si>
    <t>- Trong ®ã: Chi phÝ l·i vay</t>
  </si>
  <si>
    <t>01</t>
  </si>
  <si>
    <t>11</t>
  </si>
  <si>
    <t>31</t>
  </si>
  <si>
    <t>32</t>
  </si>
  <si>
    <t>KÕ to¸n tr­ëng</t>
  </si>
  <si>
    <t>(Theo ph­¬ng ph¸p trùc tiÕp)</t>
  </si>
  <si>
    <t>L­u chuyÓn tiÒn thuÇn tõ ho¹t ®éng ®Çu t­</t>
  </si>
  <si>
    <t>L­u chuyÓn tiÒn thuÇn tõ ho¹t ®éng tµi chÝnh</t>
  </si>
  <si>
    <t>L­u chuyÓn tiÒn thuÇn trong kú</t>
  </si>
  <si>
    <t>ChØ tiªu</t>
  </si>
  <si>
    <t>B¸o c¸o l­u chuyÓn tiÒn tÖ</t>
  </si>
  <si>
    <t>I. L­u chuyÓn tiÒn tõ ho¹t ®éng kinh doanh</t>
  </si>
  <si>
    <t>1. TiÒn thu b¸n hµng, cung cÊp dÞch vô vµ doanh thu kh¸c</t>
  </si>
  <si>
    <t>3. TiÒn chi tr¶ cho ng­êi lao ®éng</t>
  </si>
  <si>
    <t>4. TiÒn chi tr¶ l·i vay</t>
  </si>
  <si>
    <t>6. TiÒn thu kh¸c tõ ho¹t ®éng kinh doanh</t>
  </si>
  <si>
    <t>7. TiÒn chi kh¸c cho ho¹t ®éng kinh doanh</t>
  </si>
  <si>
    <t>L­u chuyÓn tiÒn thuÇn tõ ho¹t ®éng kinh doanh</t>
  </si>
  <si>
    <t>6. Quü kh¸c thuéc vèn chñ së h÷u</t>
  </si>
  <si>
    <t>8. Nguån vèn ®Çu t­ XDCB</t>
  </si>
  <si>
    <t>9. Quü hç trî s¾p xÕp doanh nghiÖp</t>
  </si>
  <si>
    <t>1. Nguån kinh phÝ Dù ¸n</t>
  </si>
  <si>
    <t>2. Nguån kinh phÝ ®· h×nh thµnh TSC§</t>
  </si>
  <si>
    <t>II. L­u chuyÓn tiÒn tõ ho¹t ®éng ®Çu t­</t>
  </si>
  <si>
    <t>2. TiÒn thu tõ thanh lý, nh­îng b¸n TSC§ vµ c¸c tµi s¶n dµi h¹n kh¸c</t>
  </si>
  <si>
    <t xml:space="preserve">1. TiÒn chi ®Ó mua s¾m, x©y dùng TSC§ vµ c¸c tµi s¶n dµi h¹n kh¸c </t>
  </si>
  <si>
    <t>3. TiÒn chi cho vay, mua c¸c c«ng cô nî cña ®¬n vÞ kh¸c</t>
  </si>
  <si>
    <t>4. TiÒn thu håi cho vay, b¸n l¹i c¸c c«ng cô nî cña ®¬n vÞ kh¸c</t>
  </si>
  <si>
    <t>5. TiÒn chi ®Çu t­ gãp vèn vµo ®¬n vÞ kh¸c</t>
  </si>
  <si>
    <t>6. TiÒn thu håi ®Çu t­ gãp vèn vµo ®¬n vÞ kh¸c</t>
  </si>
  <si>
    <t>7. TiÒn thu l·i cho vay, cæ tøc vµ lîi nhuËn ®­îc chia</t>
  </si>
  <si>
    <t>III. L­u chuyÓn tiÒn tõ ho¹t ®éng tµi chÝnh</t>
  </si>
  <si>
    <t>1. TiÒn thu tõ ph¸t hµnh cæ phiÕu, nhËn vèn gãp cña chñ së h÷u</t>
  </si>
  <si>
    <t>3. TiÒn vay ng¾n h¹n, dµi h¹n nhËn ®­îc</t>
  </si>
  <si>
    <t>4. TiÒn chi tr¶ nî gèc vay</t>
  </si>
  <si>
    <t>5. TiÒn chi tr¶ nî thuª tµi chÝnh</t>
  </si>
  <si>
    <t>6. Cæ tøc, lîi nhuËn ®· tr¶ cho chñ së h÷u</t>
  </si>
  <si>
    <t>TiÒn vµ t­¬ng ®­¬ng tiÒn ®Çu kú</t>
  </si>
  <si>
    <t>¶nh h­ëng cña thay ®æi tû gi¸ quy ®æi ngo¹i tÖ</t>
  </si>
  <si>
    <t>C«ng ty CP x©y l¾p Vinashin</t>
  </si>
  <si>
    <t>XN S«ng §µ 10.2</t>
  </si>
  <si>
    <t>Cty thñy ®iÖn S¬n La</t>
  </si>
  <si>
    <t>Ban qu¶n lý dù ¸n ®­êng HCM</t>
  </si>
  <si>
    <t>Ph¶i tr¶ ®éi x©y dùng Th¨ng Long</t>
  </si>
  <si>
    <t>Chi phÝ ph¶i tr¶ kh¸c</t>
  </si>
  <si>
    <t>C¸c kho¶n ph¶i tr¶, ph¶i nép ng¾n h¹n kh¸c</t>
  </si>
  <si>
    <t>+ NH TMCP §¹i D­¬ng - CN Th¨ng Long</t>
  </si>
  <si>
    <t xml:space="preserve"> - Thu tiÒn gãp vèn cña c¸c c¸ nh©n</t>
  </si>
  <si>
    <t>Vèn kh¸c cña CSH</t>
  </si>
  <si>
    <t xml:space="preserve"> - Chi tr¶ cæ tøc cho c¸c C§</t>
  </si>
  <si>
    <t>CN Cty TNHH XD Tù LËp - Má ®¸ Hang N¾ng</t>
  </si>
  <si>
    <t>C«ng ty TNHH 1TV B×nh ThÞnh</t>
  </si>
  <si>
    <t>CN S«ng §µ 11.1- C«ng ty CP S§ 11</t>
  </si>
  <si>
    <t>Ban ®iÒu hµnh DA T§ B¶n VÏ</t>
  </si>
  <si>
    <t>Cty CP ®Çu t­ x©y l¾p DÇu KhÝ Imico</t>
  </si>
  <si>
    <t>Cty CP thiÕt bÞ néi ngo¹i thÊt DÇu KhÝ</t>
  </si>
  <si>
    <t>TCT Dung dÞch khoan vµ ho¸ phÈm DÇu khÝ</t>
  </si>
  <si>
    <t>C«ng ty CP Thñy §iÖn NËm ChiÕn</t>
  </si>
  <si>
    <t>Ban §H DA T§ S¬n La - TU hîp ®ång</t>
  </si>
  <si>
    <t>C«ng ty thuû ®iÖn S¬n La</t>
  </si>
  <si>
    <t>B§H DA Thuû ®iÖn Huéi Qu¶ng</t>
  </si>
  <si>
    <t>Dù phßng gi¶m gi¸ ®Çu t­ chøng kho¸n</t>
  </si>
  <si>
    <t>Doanh thu cho thuª thiÕt bÞ</t>
  </si>
  <si>
    <t>§Çu</t>
  </si>
  <si>
    <t xml:space="preserve"> * Gi¸ trÞ cña hµng tån kho dïng ®Ó thÕ chÊp, cÇm cè, ®¶m b¶o c¸c kho¶n nî ph¶i tr¶: …</t>
  </si>
  <si>
    <t xml:space="preserve"> * Gi¸ trÞ hoµn nhËp dù phßng gi¶m gi¸ hµng tån kho trong n¨m: ……..</t>
  </si>
  <si>
    <t xml:space="preserve">     + Gi¶m gi¸ hµng b¸n </t>
  </si>
  <si>
    <t>Sè ®iÒu chØnh</t>
  </si>
  <si>
    <t>TiÒn mÆt</t>
  </si>
  <si>
    <t>TiÒn ®ang chuyÓn</t>
  </si>
  <si>
    <t>§Çu t­ chøng kho¸n ng¾n h¹n</t>
  </si>
  <si>
    <t>Tr¶ tr­íc ng­êi b¸n</t>
  </si>
  <si>
    <t>ThuÕ GTGT khÊu trõ</t>
  </si>
  <si>
    <t>T¹m øng</t>
  </si>
  <si>
    <t>Chi phÝ chê kÕt chuyÓn</t>
  </si>
  <si>
    <t>Ký quü ký c­îc ng¾n h¹n</t>
  </si>
  <si>
    <t>NVL</t>
  </si>
  <si>
    <t>CCDC</t>
  </si>
  <si>
    <t>CPSXKDDD</t>
  </si>
  <si>
    <t>Thµnh phÈm</t>
  </si>
  <si>
    <t>Hµng ho¸</t>
  </si>
  <si>
    <t>Hµng göi b¸n</t>
  </si>
  <si>
    <t>Hµng ho¸ kho b¶o thuÕ</t>
  </si>
  <si>
    <t>Dù phßng gi¶m gi¸ hµng tån kho</t>
  </si>
  <si>
    <t xml:space="preserve"> Nguyªn gi¸ TSC§</t>
  </si>
  <si>
    <t>TSC§ thuª TC</t>
  </si>
  <si>
    <t>TSC§ v« h×nh</t>
  </si>
  <si>
    <t>Hao mßn TSC§ v« h×nh</t>
  </si>
  <si>
    <t>XDCB DD</t>
  </si>
  <si>
    <t>Chi phÝ tr¶ tr­íc dµi h¹n</t>
  </si>
  <si>
    <t>Vay Ng¾n h¹n</t>
  </si>
  <si>
    <t xml:space="preserve">C¸c kho¶n gi¶m trõ doanh thu: </t>
  </si>
  <si>
    <t>Chi phÝ kinh doanh theo yÕu tè</t>
  </si>
  <si>
    <t>Chi phÝ nguyªn, nhiªn vËt liÖu</t>
  </si>
  <si>
    <t>Ban §H DA Thñy ®iÖn Hña Na</t>
  </si>
  <si>
    <t>Ban QLDA ®­êng Hå ChÝ Minh</t>
  </si>
  <si>
    <t>Cty CP x©y dùng H¹ §×nh</t>
  </si>
  <si>
    <t>Cty TNHH XD - TM §¹i Nguyªn Hoµng</t>
  </si>
  <si>
    <t>Cty TNHH T©n §øc ViÖt</t>
  </si>
  <si>
    <t>Cty TNHH TiÕn Ph¸t</t>
  </si>
  <si>
    <t>Cty TNHH XD &amp; TM Minh Huy</t>
  </si>
  <si>
    <t>Cty CP X¨ng dÇu Thôy D­¬ng</t>
  </si>
  <si>
    <t>CN Cty CP dÞch vô vËn t¶i Sµi Gßn t¹i Hµ Néi</t>
  </si>
  <si>
    <t>Cty TNHH Hoµng §¹t</t>
  </si>
  <si>
    <t>Cty CP cÊu kiÖn bª t«ng ®óc s½n Th¨ng Long</t>
  </si>
  <si>
    <t>Cty CP thÐp vµ TM Minh Anh</t>
  </si>
  <si>
    <t>Cty TNHH s¶n xuÊt &amp; TM DV Phó Quý</t>
  </si>
  <si>
    <t>Cty TNHH Vietnam March</t>
  </si>
  <si>
    <t>Cty CP Th¾ng Lîi</t>
  </si>
  <si>
    <t>Cty CP §Çu t­ vµ TM ViÔn D­¬ng</t>
  </si>
  <si>
    <t>Cty TNHH TM &amp; DV M¹nh TiÕn</t>
  </si>
  <si>
    <t>C«ng ty TNHH Thµnh §øc</t>
  </si>
  <si>
    <t>Cty CP XD c«ng tr×nh Hµ An</t>
  </si>
  <si>
    <t>Cty CP x©y dùng Th¨ng Long</t>
  </si>
  <si>
    <t>Cty TNHH XD Dòng C­êng</t>
  </si>
  <si>
    <t>Cty CP TM&amp; øng dông CN Hµ Néi</t>
  </si>
  <si>
    <t>Cty TNHH XD Kh­¬ng Duy</t>
  </si>
  <si>
    <t>Nhµ m¸y quy chÕ 2</t>
  </si>
  <si>
    <t>Cty CP thiÕt bÞ x©y dùng ViÖt Nam</t>
  </si>
  <si>
    <t>Cty th­¬ng m¹i HiÖp H­¬ng</t>
  </si>
  <si>
    <t>Cty TNHH SX vµ TM Minh  H­ng Long</t>
  </si>
  <si>
    <t>Cty CP kü thuËt c«ng nghiÖp ¸ Ch©u</t>
  </si>
  <si>
    <t>Cty TNHH MTV x©y dùng vµ TM H¶i</t>
  </si>
  <si>
    <t>Cty TNHH kü thuËt chiÕu s¸ng Hµ Thµnh</t>
  </si>
  <si>
    <t>Cty TNHH th­¬ng m¹i TriÒu D­¬ng</t>
  </si>
  <si>
    <t>DNTN Trung Liªn</t>
  </si>
  <si>
    <t>Cty CP x©y dùng &amp; kÕt cÊu thÐp sè 1 Hµ Néi</t>
  </si>
  <si>
    <t>Cty TNHH kü thuËt vµ XL TM BKNEC</t>
  </si>
  <si>
    <t>Cty TNHH th­¬ng m¹i dÞch vô Thiªn Thanh</t>
  </si>
  <si>
    <t>Cty TNHH §éng Lùc</t>
  </si>
  <si>
    <t>C«ng ty TNHH Phong ViÖt</t>
  </si>
  <si>
    <t>Cty CP TM &amp; VT Ninh Giang</t>
  </si>
  <si>
    <t>Cty CP thÐp ViÖt ý</t>
  </si>
  <si>
    <t>Cty CP S«ng §µ 7.07</t>
  </si>
  <si>
    <t>Cty ®Çu t­ vµ ph¸t triÓn c«ng nghÖ cao ViÖt Nam</t>
  </si>
  <si>
    <t>Dù phßng gi¶m gi¸ ®Çu t­ dµi h¹n</t>
  </si>
  <si>
    <t>5.1.</t>
  </si>
  <si>
    <t>5.2.</t>
  </si>
  <si>
    <t>5.3.</t>
  </si>
  <si>
    <t>Vay vµ nî ng¾n h¹n:</t>
  </si>
  <si>
    <t>Vèn gãp t¨ng trong kú nµy</t>
  </si>
  <si>
    <t>Vèn gãp gi¶m trong kú nµy</t>
  </si>
  <si>
    <t>Vèn gãp cuèi kú</t>
  </si>
  <si>
    <t>Vèn gãp ®Çu kú</t>
  </si>
  <si>
    <t>6 th¸ng ®Çu n¨m tr­íc</t>
  </si>
  <si>
    <t>6 th¸ng ®Çu n¨m nay</t>
  </si>
  <si>
    <t>¤ng Phïng Minh B»ng</t>
  </si>
  <si>
    <t>¤ng §inh M¹nh H­ng</t>
  </si>
  <si>
    <r>
      <t>B</t>
    </r>
    <r>
      <rPr>
        <b/>
        <sz val="12"/>
        <rFont val=".VnTime"/>
        <family val="2"/>
      </rPr>
      <t xml:space="preserve">¸o c¸o cña Tæng Ban Gi¸m ®èc </t>
    </r>
  </si>
  <si>
    <t>¤ng L­u V¨n H¶i</t>
  </si>
  <si>
    <t>¤ng Vò Minh ThiÖn</t>
  </si>
  <si>
    <t>¦íc tÝnh kÕ to¸n</t>
  </si>
  <si>
    <t>Cæ phiÕu ng©n quü</t>
  </si>
  <si>
    <t>Chªnh lÖch ®¸nh gi¸ l¹i tµi s¶n</t>
  </si>
  <si>
    <t>Chªnh lÖch tû gi¸ hèi ®o¸i</t>
  </si>
  <si>
    <t>Quü ®Çu t­ ph¸t triÓn</t>
  </si>
  <si>
    <t>Quü dù phßng tµi chÝnh</t>
  </si>
  <si>
    <t>Quü kh¸c thuéc vèn chñ së h÷u</t>
  </si>
  <si>
    <t>Lîi nhuËn ch­a ph©n phèi</t>
  </si>
  <si>
    <t>Quü khen th­ëng, phóc lîi</t>
  </si>
  <si>
    <t>Nguån kinh phÝ</t>
  </si>
  <si>
    <t>Nguån kinh phÝ ®· h×nh thµnh TSC§</t>
  </si>
  <si>
    <t>Sè ®¬n vÞ</t>
  </si>
  <si>
    <t>N129</t>
  </si>
  <si>
    <t>N139</t>
  </si>
  <si>
    <t>N159</t>
  </si>
  <si>
    <t>N0152</t>
  </si>
  <si>
    <t>N0153</t>
  </si>
  <si>
    <t>N0154</t>
  </si>
  <si>
    <t>N0155</t>
  </si>
  <si>
    <t>N0156</t>
  </si>
  <si>
    <t>Vay vµ nî dµi h¹n</t>
  </si>
  <si>
    <t>ThuÕ thu nhËp ho·n l¹i ph¶i tr¶</t>
  </si>
  <si>
    <t>Vèn ®Çu t­ cña chñ së h÷u</t>
  </si>
  <si>
    <t>ThÆng d­ vèn cæ phÇn</t>
  </si>
  <si>
    <t>- Khoản vay Ngân hàng TM CP Quân Đội – chi nhánh Mỹ Đình để sử dụng vào việc mua máy móc thiết bị mới và bổ sung vốn lưu động để thực hiện sản xuất kinh doanh. Khoản vay này được đảm bảo bằng việc thế chấp tài sản hình thành từ vốn vay, các khỏan phải thu khách hàng tương ứng với số dư nợ tại thời điểm vay.</t>
  </si>
  <si>
    <t>2.1</t>
  </si>
  <si>
    <t>2.2</t>
  </si>
  <si>
    <t>2.3</t>
  </si>
  <si>
    <t>Bµ Bïi Minh Ph­¬ng</t>
  </si>
  <si>
    <t>¤ng Vò TuÊn Nam</t>
  </si>
  <si>
    <t>VP cty</t>
  </si>
  <si>
    <t>CN Hµ Néi</t>
  </si>
  <si>
    <t>§Þa chØ: TÇng 4, CT3, tßa nhµ Fodacon, ®­êng TrÇn Phó</t>
  </si>
  <si>
    <t>Ph­êng Mç Lao, quËn Hµ §«ng, Hµ Néi.</t>
  </si>
  <si>
    <t>4. Chªnh lÖch tû gi¸ hèi ®o¸i</t>
  </si>
  <si>
    <t>Hoµn nhËp dù phßng gi¶m gi¸ cña c¸c lo¹i chøng kho¸n</t>
  </si>
  <si>
    <t>TCT CP X©y l¾p D.khÝ VN</t>
  </si>
  <si>
    <t>TCT CP B¶o hiÓm D.khÝ VN</t>
  </si>
  <si>
    <t>C¬ quan c«ng ty</t>
  </si>
  <si>
    <t>Kh¸ch hµng mua ®Êt</t>
  </si>
  <si>
    <t>Ban ®iÒu hµnh DA T§ S¬n La</t>
  </si>
  <si>
    <t>C«ng ty CP S«ng §µ 909</t>
  </si>
  <si>
    <t>XN X©y l¾p vµ sx vËt liÖu XD Sè 1</t>
  </si>
  <si>
    <t>C«ng ty CP ®Çu t­ PT ®« thÞ &amp; KCN S«ng §µ</t>
  </si>
  <si>
    <t>Ban qu¶n lý nhµ m¸y thuû ®iÖn S¬n La</t>
  </si>
  <si>
    <t>Cty CP thuû ®iÖn Hña Na</t>
  </si>
  <si>
    <t>Cty TNHH §Çu t­ khai th¸c Kho¸ng S¶n Sotraco</t>
  </si>
  <si>
    <t>C«ng ty CP thuû ®iÖn NËm ChiÕn</t>
  </si>
  <si>
    <t>Cty CP TC c¬ giíi vµ l¾p m¸y DÇu KhÝ - PVC ME</t>
  </si>
  <si>
    <t>Cty CP §Çu t­ X©y dùng Vinaconex - PVC</t>
  </si>
  <si>
    <t>Cty CP ®Çu t­ vµ TM DÇu KhÝ Nghi S¬n</t>
  </si>
  <si>
    <t>C«ng ty TNHH Anh Ph¸t</t>
  </si>
  <si>
    <t>Cty X©y dùng sè 8 Th¨ng Long</t>
  </si>
  <si>
    <t>C«ng ty TNHH H­ng Ph¸t</t>
  </si>
  <si>
    <t>Cty CP t­ vÊn  XD &amp; TM Thñ §«</t>
  </si>
  <si>
    <t>Cty CP XL &amp; VL XD DÇu khÝ S«ng Hång</t>
  </si>
  <si>
    <t>Cty CP §Çu t­ X©y dùng Anh Qu©n</t>
  </si>
  <si>
    <t>Cty TNHH MTV S«ng §µ 3.03</t>
  </si>
  <si>
    <t>XÝ nghiÖp S«ng §µ 3.02</t>
  </si>
  <si>
    <t>Cty CP S«ng §µ 4</t>
  </si>
  <si>
    <t>CN Cty CP S«ng §µ 4.10</t>
  </si>
  <si>
    <t>XÝ nghiÖp S«ng §µ 5.01</t>
  </si>
  <si>
    <t>C«ng ty CP S«ng §µ 2</t>
  </si>
  <si>
    <t>B§H dù ¸n NM xi m¨ng H¹ Long</t>
  </si>
  <si>
    <t>C«ng ty CP xi m¨ng H¹ Long</t>
  </si>
  <si>
    <t>Cty TNHH Liªn doanh Hoµng Viªn Qu¶ng B¸</t>
  </si>
  <si>
    <t>TÊt c¶ c¸c nghiÖp vô liªn quan ®Õn doanh thu, chi phÝ ®­îc h¹ch to¸n theo tû gi¸ thùc tÕ t¹i thêi ®iÓm ph¸t sinh nghiÖp vô. Chªnh lÖch tû gi¸ cña c¸c nghiÖp vô ph¸t sinh trong kú ®­îc h¹ch to¸n nh­ mét kho¶n l·i (lç) vÒ tû gi¸.</t>
  </si>
  <si>
    <t xml:space="preserve">            Lª Träng NghÜa                          Ph¹m Tr­êng Tam</t>
  </si>
  <si>
    <t>30-06-2012</t>
  </si>
  <si>
    <t>6 th¸ng ®Çu n¨m 2012</t>
  </si>
  <si>
    <t>chi tiÕt c¸c bót to¸n ®iÒu chØnh kiÓm to¸n 6 th¸ng ®Çu n¨m 2012</t>
  </si>
  <si>
    <t>Tªn</t>
  </si>
  <si>
    <t>§Þa chØ</t>
  </si>
  <si>
    <t>§¬n vÞ tiÒn tÖ sö dông trong kÕ to¸n: §ång ViÖt Nam (®ång).</t>
  </si>
  <si>
    <r>
      <t>Nguyªn t¾c ghi nhËn c¸c kho¶n ®Çu t­ ng¾n h¹n:</t>
    </r>
    <r>
      <rPr>
        <sz val="11.5"/>
        <rFont val=".VnTime"/>
        <family val="2"/>
      </rPr>
      <t xml:space="preserve"> C¸c kho¶n ®Çu t­ chøng kho¸n t¹i thêi ®iÓm b¸o c¸o, nÕu:</t>
    </r>
  </si>
  <si>
    <r>
      <t xml:space="preserve">Nguyªn t¾c ghi nhËn c¸c kho¶n ®Çu t­ dµi h¹n: </t>
    </r>
    <r>
      <rPr>
        <sz val="11.5"/>
        <rFont val=".VnTime"/>
        <family val="2"/>
      </rPr>
      <t>bao gåm ®Çu t­ vµo C«ng ty con vµ ®Çu t­ dµi h¹n kh¸c.</t>
    </r>
  </si>
  <si>
    <t>Trªn c¬ së c«ng t¸c so¸t xÐt cña chóng t«i, chóng t«i kh«ng thÊy cã sù kiÖn nµo ®Ó chóng t«i cho r»ng b¸o c¸o tµi chÝnh kÌm theo ®©y kh«ng ph¶n ¸nh trung thùc vµ hîp lý trªn c¸c khÝa c¹nh träng yÕu phï hîp víi ChuÈn  mùc vµ ChÕ ®é kÕ to¸n ViÖt Nam hiÖn hµnh.</t>
  </si>
  <si>
    <t xml:space="preserve"> * C¸c tr­êng hîp hoÆc sù kiÖn dÉn ®Õn ph¶i trÝch thªm hoÆc hoµn nhËp dù phßng gi¶m gi¸ HTK</t>
  </si>
  <si>
    <t>TiÒn</t>
  </si>
  <si>
    <t>Hµng tån kho</t>
  </si>
  <si>
    <t>ThuÕ vµ c¸c kho¶n ph¶i nép nhµ n­íc</t>
  </si>
  <si>
    <t>19.</t>
  </si>
  <si>
    <t>20.</t>
  </si>
  <si>
    <t>21.</t>
  </si>
  <si>
    <t>23.</t>
  </si>
  <si>
    <t>+ ThuÕ tiªu thô ®Æc biÖt, thuÕ xuÊt khÈu ph¶i nép, thuÕ GTGT theo ph­¬ng ph¸p trùc tiÕp ph¶i nép.</t>
  </si>
  <si>
    <t>I.</t>
  </si>
  <si>
    <t>§Æc ®iÓm ho¹t ®éng cña doanh nghiÖp</t>
  </si>
  <si>
    <t>H×nh thøc së h÷u vèn:</t>
  </si>
  <si>
    <t>Hµ Néi, ngµy 20 th¸ng 02 n¨m 2009</t>
  </si>
  <si>
    <t>Cho vay dµi h¹n néi bé</t>
  </si>
  <si>
    <t>Ph¶i thu dµi h¹n néi bé kh¸c</t>
  </si>
  <si>
    <t>Ký quü, ký c­îc dµi h¹n</t>
  </si>
  <si>
    <t>C¸c kho¶n tiÒn nhËn uû th¸c</t>
  </si>
  <si>
    <t>Cho vay kh«ng cã l·i</t>
  </si>
  <si>
    <t>Vay ng¾n h¹n</t>
  </si>
  <si>
    <t>Nî dµi h¹n ®Õn h¹n tr¶</t>
  </si>
  <si>
    <t>Vay dµi h¹n néi bé</t>
  </si>
  <si>
    <t>Ph¶i tr¶ dµi h¹n néi bé kh¸c</t>
  </si>
  <si>
    <t>Nguån kinh phÝ cßn l¹i ®Çu n¨m</t>
  </si>
  <si>
    <t>Nguån kinh phÝ ®­îc cÊp trong n¨m</t>
  </si>
  <si>
    <t>Chi sù nghiÖp</t>
  </si>
  <si>
    <t>Nguån kinh phÝ cßn l¹i cuèi n¨m</t>
  </si>
  <si>
    <t>Chi phÝ thuÕ TNDN tÝnh trªn thu nhËp chÞu thuÕ n¨m hiÖn hµnh</t>
  </si>
  <si>
    <t>§iÒu chØnh chi phÝ thuÕ TNDN cña c¸c n¨m tr­íc vµo chi phÝ thuÕ thu nhËp hiÖn hµnh n¨m nay</t>
  </si>
  <si>
    <t>Tæng chi phÝ thuÕ thu nhËp doanh nghiªp hiÖn hµnh</t>
  </si>
  <si>
    <t>Chi phÝ khÊu hao tµi s¶n cè ®Þnh</t>
  </si>
  <si>
    <t>Chi phÝ dÞch vô mua ngoµi</t>
  </si>
  <si>
    <t>Chi phÝ b»ng tiÒn kh¸c</t>
  </si>
  <si>
    <t>*</t>
  </si>
  <si>
    <t>II.</t>
  </si>
  <si>
    <t>Niªn ®é kÕ to¸n, ®¬n vÞ tiÒn tÖ sö dông trong kÕ to¸n</t>
  </si>
  <si>
    <t>III.</t>
  </si>
  <si>
    <t>ChuÈn mùc kÕ to¸n vµ chÕ ®é kÕ to¸n ¸p dông</t>
  </si>
  <si>
    <t>IV.</t>
  </si>
  <si>
    <t>Ph¶i tr¶ ng­êi b¸n</t>
  </si>
  <si>
    <t>N¨m 2012</t>
  </si>
  <si>
    <t>§¬n vÞ tÝnh: ®ång</t>
  </si>
  <si>
    <t>Th«ng tin bæ sung cho c¸c kho¶n môc tr×nh bµy trªn B¶ng c©n ®èi kÕ to¸n (§VT: ®ång)</t>
  </si>
  <si>
    <t xml:space="preserve"> - Sè l­îng cæ phiÕu ®­îc mua l¹i</t>
  </si>
  <si>
    <t>- Sè l­îng cæ phiÕu ®ang l­u hµnh</t>
  </si>
  <si>
    <t xml:space="preserve"> * MÖnh gi¸ cæ phiÕu ®ang l­u hµnh:</t>
  </si>
  <si>
    <t>E.</t>
  </si>
  <si>
    <t>C¸c quü doanh nghiÖp</t>
  </si>
  <si>
    <t>C¸c kho¶n chiÕt khÊu th­¬ng m¹i vµ gi¶m gi¸ hµng mua do hµng mua kh«ng ®óng quy c¸ch, phÈm chÊt.</t>
  </si>
  <si>
    <t>Chi phÝ nguyªn vËt liÖu, chi phÝ nh©n c«ng vµ c¸c chi phÝ s¶n xuÊt, kinh doanh kh¸c ph¸t sinh trªn møc b×nh th­êng.</t>
  </si>
  <si>
    <t>Chi phÝ b¶o qu¶n hµng tån kho trõ c¸c chi phÝ b¶o qu¶n hµng tån kho cÇn thiÕt cho qu¸ tr×nh s¶n xuÊt tiÕp theo vµ chi phÝ b¶o qu¶n hµng tån kho ph¸t sinh trong qu¸ tr×nh mua hµng.</t>
  </si>
  <si>
    <t>Chi phÝ b¸n hµng.</t>
  </si>
  <si>
    <t>Chi phÝ qu¶n lý doanh nghiÖp.</t>
  </si>
  <si>
    <t xml:space="preserve"> -</t>
  </si>
  <si>
    <t>2.1.</t>
  </si>
  <si>
    <t>2.2.</t>
  </si>
  <si>
    <t>2.3.</t>
  </si>
  <si>
    <t>3.1</t>
  </si>
  <si>
    <t>3.2</t>
  </si>
  <si>
    <t>Cty CP nghiªn cøu vµ PTCN míi HD</t>
  </si>
  <si>
    <t>Cty CP thiÕt bÞ CN vµ x©y dùng CMS</t>
  </si>
  <si>
    <t>C«ng ty TNHH S¬n Jotun ViÖt Nam</t>
  </si>
  <si>
    <t>Cty TNHH §TXD&amp;DVTM Minh Xu©n</t>
  </si>
  <si>
    <t>CTy CP th­¬ng m¹i Cao Minh</t>
  </si>
  <si>
    <t>Cty CP DVTM TkÕ &amp; XD B×nh Minh</t>
  </si>
  <si>
    <t>Cty CP Hµ §« 3</t>
  </si>
  <si>
    <t>Hµ Néi, ngµy 30 th¸ng 07 n¨m 2013</t>
  </si>
  <si>
    <t>4. Vay vµ nî dµi h¹n</t>
  </si>
  <si>
    <t>5. ThuÕ thu nhËp ho·n l¹i ph¶i tr¶</t>
  </si>
  <si>
    <t>6. Dù phßng trî cÊp mÊt viÖc lµm</t>
  </si>
  <si>
    <t>¤ng TrÇn Anh §øc</t>
  </si>
  <si>
    <t>C«ng ty TNHH KiÓm to¸n vµ T­ vÊn Th¨ng Long - T.D.K lµ c«ng ty kiÓm to¸n cã ®ñ n¨ng lùc ®­îc lùa chän. C«ng ty TNHH KiÓm to¸n vµ T­ vÊn Th¨ng Long - T.D.K bµy tá nguyÖn väng ®­îc tiÕp tôc kiÓm to¸n b¸o c¸o tµi chÝnh cho C«ng ty trong nh÷ng kú tiÕp theo.</t>
  </si>
  <si>
    <t>¤ng NguyÔn Duyªn H¶i</t>
  </si>
  <si>
    <t>- Khoản vay ngân hàng thương mại cổ phần Đầu tư và phát triển  Việt Nam – Chi nhánh Hà Tây  để sử dụng vào việc mua máy móc thiết bị mới và bổ sung vốn lưu động để thực hiện sản xuất kinh doanh. Khoản vay này được đảm bảo bằng việc thế chấp tài sản hình thành từ vốn vay, quyền sử dụng đất và tài sản trên đất của bên thứ ba. Tài sản thế chấp gồm dây chuyền máy móc thiết bị, quyền sử dụng đất và tài sản trên đất của bên thứ ba.</t>
  </si>
  <si>
    <t xml:space="preserve">- Khoản vay Ngân hàng TMCP Đại Dương – Chi nhánh Thăng Long  để sử dụng vào việc mua máy móc thiết bị mới. Khoản vay này được đảm bảo bằng việc thế chấp tài sản hình thành từ vốn vay. </t>
  </si>
  <si>
    <t>C«ng ty CP S«ng §µ 8</t>
  </si>
  <si>
    <t>XÝ nghiÖp I - C«ng ty CP S«ng §µ 909</t>
  </si>
  <si>
    <t>C«ng ty CP S«ng §µ 7.04</t>
  </si>
  <si>
    <t>XÝ nghiÖp S§ 10.6 - C«ng ty CP S«ng §µ 10</t>
  </si>
  <si>
    <t>XÝ nghiÖp S«ng §µ 5.01 - C«ng ty CP S§5</t>
  </si>
  <si>
    <t>C«ng ty CP thi c«ng CG vµ l¾p m¸y DÇu KhÝ</t>
  </si>
  <si>
    <t>C«ng ty TNHH 1TV Sudico An Kh¸nh</t>
  </si>
  <si>
    <t>Chi nh¸nh HCM</t>
  </si>
  <si>
    <t>CTy CP t­ vÊn Sudico</t>
  </si>
  <si>
    <t>Cty CP §T XD &amp; PT ®« thÞ S«ng §µ</t>
  </si>
  <si>
    <t>C«ng ty TNHH Thµnh TiÕn</t>
  </si>
  <si>
    <t>C«ng ty TNHH C«ng nghiÖp M &amp; H</t>
  </si>
  <si>
    <t>C«ng ty th­¬ng m¹i Lîi Th¾ng</t>
  </si>
  <si>
    <t>Cty TNHH vËn t¶i biÓn Ph­îng Hoµng</t>
  </si>
  <si>
    <t>C«ng cô tµi chÝnh</t>
  </si>
  <si>
    <t>Qu¶n lý rñi ro vèn</t>
  </si>
  <si>
    <t>C«ng ty thùc hiÖn qu¶n trÞ nguån vèn ®Ó ®¶m b¶o r»ng C«ng ty cã thÓ võa ho¹t ®éng võa cã thÓ tèi ®a hãa lîi Ých cña cæ ®«ng th«ng qua viÖc sö dông nguån vèn cã hiÖu qu¶.</t>
  </si>
  <si>
    <t>CÊu tróc vèn cña C«ng ty bao gåm: vèn ®iÒu lÖ céng víi thÆng d­ vèn cæ phÇn, trõ ®i cæ phiÕu quü.</t>
  </si>
  <si>
    <t>Tµi s¶n tµi chÝnh</t>
  </si>
  <si>
    <t>Tµi s¶n tµi chÝnh lµ c¸c tµi s¶n mµ qua ®ã c«ng ty cã thÓ ph¸t sinh c¸c kho¶n thu nhËp trong t­¬ng lai. C¸c tµi s¶n nµy ®· ®­îc x¸c ®Þnh l¹i theo gi¸ trÞ hîp lý t¹i ngµy lËp b¸o c¸o tµi chÝnh.</t>
  </si>
  <si>
    <t xml:space="preserve">Gi¸ trÞ ghi sæ </t>
  </si>
  <si>
    <t>Gi¸ trÞ hîp lý</t>
  </si>
  <si>
    <t xml:space="preserve">- TiÒn </t>
  </si>
  <si>
    <t>- C¸c kho¶n t­¬ng ®­¬ng tiÒn</t>
  </si>
  <si>
    <t>- C¸c kho¶n ph¶i thu kh¸c hµng vµ ph¶i thu kh¸c</t>
  </si>
  <si>
    <t>C«ng nî tµi chÝnh</t>
  </si>
  <si>
    <t>C¸c kho¶n nî tµi chÝnh ®· ®­îc ®¸nh gi¸ l¹i theo ®óng quy ®Þnh cña ChuÈn mùc kÕ to¸n hiÖn hµnh ®Ó ®¶m b¶o nghÜa vô thanh to¸n cña c«ng ty. Cô thÓ c¸c kho¶n ph¶i tr¶ ng­êi b¸n vµ c¸c kho¶n vay cã gèc ngo¹i tÖ ®Òu ®­îc ®¸nh gi¸ l¹i theo tû gi¸ t¹i ngµy lËp b¸o c¸o. §ång thêi c¸c kho¶n chi phÝ ®i vay ph¶i tr¶ ®· ®­îc ghi nhËn trong kú vµo b¸o c¸o kÕt qu¶ ho¹t ®éng kinh doanh.</t>
  </si>
  <si>
    <t>- Ph¶i tr¶ ng­êi b¸n</t>
  </si>
  <si>
    <t>- Vay vµ nî ng¾n h¹n, dµi h¹n</t>
  </si>
  <si>
    <t>Qu¶n lý rñi ro tµi chÝnh</t>
  </si>
  <si>
    <t>Rñi ro tµi chÝnh bao gåm: rñi ro thÞ tr­êng vµ rñi ro tÝn dông, rñi ro thanh kho¶n vµ rñi ro dßng tiÒn. C«ng ty kh«ng thùc hiÖn c¸c biÖn ph¸p phßng ngõa c¸c rñi ro nµy do thiÕu thÞ tr­êng mua c¸c c«ng cô nµy.</t>
  </si>
  <si>
    <t>Rñi ro thÞ tr­êng: C«ng ty mua nguyªn vËt liÖu, hµng hãa tõ c¸c nhµ cung cÊp trong n­íc ®Ó phôc cho ho¹t ®éng s¶n xuÊt kinh doanh. Do vËy c«ng ty sÏ chÞu rñi ro tõ viÖc thay ®æi gi¸ b¸n cña nguyªn vËt liÖu, hµng hãa. Rñi ro nµy c«ng ty qu¶n trÞ b»ng viÖc thùc hiÖn mua hµng tõ mét sè l­îng lín tõ c¸c nhµ cung cÊp trong n­íc, còng nh­ linh ho¹t trong viÖc ®µm ph¸n vµ ®iÒu chØnh gi¸ b¸n cho ng­êi mua khi cã biÕn ®éng lín vÒ gi¸ c¶ hµng hãa.</t>
  </si>
  <si>
    <t>Rñi ro tÝn dông: bao gåm rñi thanh kho¶n vµ rñi ro l·i suÊt. Môc ®Ých qu¶n lý rñi ro thanh kho¶n nh»m ®¶m b¶o ®ñ nguån vèn ®Ó thanh to¸n cho c¸c kho¶n nî ph¶i tr¶ hiÖn t¹i vµ t­¬ng lai. ChÝnh s¸ch cña C«ng ty lµ theo dâi th­êng xuyªn c¸c yªu cÇu vÒ thanh kho¶n ®èi víi c¸c kho¶n nî ph¶i tr¶ hiÖn t¹i dù kiÕn trong t­¬ng lai nh»m ®¶m b¶o viÖc duy tr× mét l­îng tiÒn mÆt ®¸p øng tÝnh thanh kho¶n ng¾n h¹n vµ dµi h¹n.</t>
  </si>
  <si>
    <t>D­íi  1 n¨m</t>
  </si>
  <si>
    <t>Tõ 1 ®Õn 5 n¨m</t>
  </si>
  <si>
    <t>- Vay ng¾n h¹n</t>
  </si>
  <si>
    <t>- Vay dµi h¹n</t>
  </si>
  <si>
    <t>1.4</t>
  </si>
  <si>
    <t>Tµi s¶n ®¶m b¶o</t>
  </si>
  <si>
    <t>Hµng tån kho ®­îc tÝnh theo gi¸ gèc. Tr­êng hîp gi¸ trÞ thuÇn cã thÓ thùc hiÖn ®­îc thÊp h¬n gi¸ gèc th× ph¶i tÝnh theo gi¸ trÞ thuÇn cã thÓ thùc hiÖn ®­îc. Gi¸ gèc hµng tån kho bao gåm chi phÝ mua, chi phÝ chÕ biÕn vµ c¸c chi phÝ liªn quan trùc tiÕp kh¸c ph¸t sinh ®Ó cã ®­îc hµng tån kho ë ®Þa ®iÓm vµ tr¹ng th¸i hiÖn t¹i.</t>
  </si>
  <si>
    <t>Nh÷ng chi phÝ kh«ng ®­îc tÝnh vµo gi¸ gèc hµng tån kho:</t>
  </si>
  <si>
    <t>Hµ Néi, th¸ng 09 n¨m 2013</t>
  </si>
  <si>
    <t>Cty TNHH XD Th¸i B×nh</t>
  </si>
  <si>
    <t>Cty CP T­ vÊn c«ng nghÖ vµ kiÓm ®Þnh XD</t>
  </si>
  <si>
    <t>Cty CP VËt liÖu sè 1 S¬n La</t>
  </si>
  <si>
    <t>Cty TNHH øng dông CN Khëi Nguyªn</t>
  </si>
  <si>
    <t>Cty TNHH Ngäc QuÕ</t>
  </si>
  <si>
    <t>Cty TNHH Toµn Th¾ng</t>
  </si>
  <si>
    <t>Cty TNHH øng dông CN truyÒn th«ng</t>
  </si>
  <si>
    <t>Cty TNHH Ph­¬ng Dung</t>
  </si>
  <si>
    <t>Cty CP XD&amp;§T Th­¬ng m¹i Phó Th¸i</t>
  </si>
  <si>
    <t>Cty CP N¨ng l­îng Xanh</t>
  </si>
  <si>
    <t>Cty TNHH TM&amp;DV Gh¹ch nèi</t>
  </si>
  <si>
    <t>C«ng ty S«ng §µ 5</t>
  </si>
  <si>
    <t>Cty CP X©y l¾p DÇu KhÝ Hµ Néi</t>
  </si>
  <si>
    <t>Cty CP kü thuËt SEEN</t>
  </si>
  <si>
    <t>Cty CP x©y l¾p d®­êng èng bÓ chøa dÇu khÝ</t>
  </si>
  <si>
    <t>Cty CP dÞch vô TM thiÕt kÕ XD B×nh Minh</t>
  </si>
  <si>
    <t>Cty CP §T&amp;XL dÇu khÝ Sµi Gßn (PVC SG)</t>
  </si>
  <si>
    <t>TiÒn x©y th«  Nam An Kh¸nh</t>
  </si>
  <si>
    <t>B¶o hiÓm x· héi</t>
  </si>
  <si>
    <t>B¶o hiÓm y tÕ</t>
  </si>
  <si>
    <t>B¶o hiÓm thÊt nghiÖp</t>
  </si>
  <si>
    <t xml:space="preserve">Phi tr¶ ph¶i nép kh¸c </t>
  </si>
  <si>
    <t>Kinh phÝ c«ng ®oµn</t>
  </si>
  <si>
    <t>§µo V¨n Th¾ng</t>
  </si>
  <si>
    <t>Ng©n hµng TMCP qu©n ®éi - CN Mü §×nh</t>
  </si>
  <si>
    <t>Cty TNHH §Çu t­ khai th¸c kho¸ng s¶n SOTRACO</t>
  </si>
  <si>
    <t>Chi phÝ Kinh doanh c¸t vµng S«ng L«</t>
  </si>
  <si>
    <t>Má ®¸ vµ tr¹m nghiÒn</t>
  </si>
  <si>
    <t>Dù phßng gi¶m gi¸ ®Çu t­ ng¾n h¹n</t>
  </si>
  <si>
    <t>C«ng ty CP S«ng §µ 7</t>
  </si>
  <si>
    <t>C«ng ty CP S«ng §µ 5</t>
  </si>
  <si>
    <t>C«ng ty CP TËp ®oµn Hßa Ph¸t</t>
  </si>
  <si>
    <t>TCT CP b¶o hiÓm DK VN</t>
  </si>
  <si>
    <t>Cty CP xi m¨ng S«ng §µ</t>
  </si>
  <si>
    <t>TCT CP X©y l¾p DÇu khÝ VN</t>
  </si>
  <si>
    <r>
      <t xml:space="preserve">Cty CP thÐp ViÖt </t>
    </r>
    <r>
      <rPr>
        <sz val="11.5"/>
        <rFont val=".VnTimeH"/>
        <family val="2"/>
      </rPr>
      <t>ý</t>
    </r>
  </si>
  <si>
    <t>Cty CP §T XD&amp;PT §« thÞ S.§</t>
  </si>
  <si>
    <t>Cty CP CT giao th«ng S.§</t>
  </si>
  <si>
    <t>TiÒn thuª ®Êt khu Ba La</t>
  </si>
  <si>
    <t>Chi phÝ chê ph©n bæ</t>
  </si>
  <si>
    <t>Doanh thu thuÇn cung cÊp dÞch vô</t>
  </si>
  <si>
    <t>Doanh thu thuÇn kh¸c</t>
  </si>
  <si>
    <t>Gi¸ vèn cung cÊp dÞch vô</t>
  </si>
  <si>
    <t>Gi¸ vèn kh¸c</t>
  </si>
  <si>
    <t>C«ng ty TNHH §Çu t­ vµ khai th¸c kho¸ng s¶n Sotraco</t>
  </si>
  <si>
    <t>Ph¶i thu néi bé</t>
  </si>
  <si>
    <t>Cho vay vèn cè ®Þnh</t>
  </si>
  <si>
    <t>Cho vay vèn l­u ®éng</t>
  </si>
  <si>
    <t>Cã thêi h¹n thu håi hoÆc thanh to¸n d­íi 1 n¨m ®­îc ph©n lo¹i lµ Tµi s¶n ng¾n h¹n.</t>
  </si>
  <si>
    <t>Cã thêi h¹n thu håi hoÆc thanh to¸n trªn 1 n¨m  ®­îc ph©n lo¹i lµ Tµi s¶n dµi h¹n.</t>
  </si>
  <si>
    <t xml:space="preserve">Nguyªn t¾c ghi nhËn TSC§ h÷u h×nh, v« h×nh </t>
  </si>
  <si>
    <t>4.1</t>
  </si>
  <si>
    <t>4.2.</t>
  </si>
  <si>
    <t>Chi phÝ ®i vay</t>
  </si>
  <si>
    <t>KÕ to¸n c¸c kho¶n ®Çu t­ tµi chÝnh:</t>
  </si>
  <si>
    <t>Cã thêi h¹n thu håi vèn d­íi 1 n¨m  ®­îc ph©n lo¹i lµ tµi s¶n ng¾n h¹n.</t>
  </si>
  <si>
    <t>Cã thêi h¹n thu håi vèn trªn 1 n¨m  ®­îc ph©n lo¹i lµ tµi s¶n dµi h¹n.</t>
  </si>
  <si>
    <t>Ph­¬ng ph¸p lËp dù phßng gi¶m gi¸ ®Çu t­ ng¾n h¹n, dµi h¹n</t>
  </si>
  <si>
    <t>Cã thêi h¹n thanh to¸n d­íi 1 n¨m  ®­îc ph©n lo¹i lµ nî ng¾n h¹n.</t>
  </si>
  <si>
    <t>Cã thêi h¹n thanh to¸n trªn 1 n¨m  ®­îc ph©n lo¹i lµ nî dµi h¹n.</t>
  </si>
  <si>
    <t>Ghi nhËn chi phÝ tr¶ tr­íc</t>
  </si>
  <si>
    <t>Vèn ®Çu t­ cña chñ së h÷u ®­îc ghi nhËn theo sè vèn thùc gãp cña chñ së h÷u.</t>
  </si>
  <si>
    <t>Lîi nhuËn sau thuÕ ch­a ph©n phèi lµ sè lîi nhuËn tõ c¸c ho¹t ®éng cña doanh nghiÖp sau khi trõ c¸c kho¶n ®iÒu chØnh do ¸p dông håi tè thay ®æi chÝnh s¸ch kÕ to¸n vµ ®iÒu chØnh håi tè sai sãt träng yÕu cña c¸c n¨m tr­íc.</t>
  </si>
  <si>
    <t>Nguyªn t¾c ghi nhËn doanh thu</t>
  </si>
  <si>
    <t>PhÇn c«ng viÖc cung cÊp dÞch vô ®· hoµn thµnh ®­îc x¸c ®Þnh theo ph­¬ng ph¸p ®¸nh gi¸ c«ng viÖc hoµn thµnh.</t>
  </si>
  <si>
    <t>Cã kh¶ n¨ng thu ®­îc lîi Ých kinh tÕ tõ giao dÞch cung cÊp dÞch vô ®ã;</t>
  </si>
  <si>
    <t>Chi phÝ thuÕ TNDN tÝnh trªn thu nhËp chÞu thuÕ n¨m hiÖn hµnh ®­îc tÝnh nh­ sau:</t>
  </si>
  <si>
    <t>1. Tæng lîi nhuËn kÕ to¸n tr­íc thuÕ</t>
  </si>
  <si>
    <t>+ Lîi nhuËn tõ ho¹t ®éng b¸n hµng vµ cung cÊp dÞch vô</t>
  </si>
  <si>
    <t>+ Lîi nhuËn tõ ho¹t ®éng kinh doanh bÊt ®éng s¶n</t>
  </si>
  <si>
    <t>2. Thu nhËp kh«ng chÞu thuÕ TNDN</t>
  </si>
  <si>
    <t>3. Chi phÝ kh«ng hîp lý, hîp lÖ lo¹i khái chi phÝ tÝnh thuÕ TNDN</t>
  </si>
  <si>
    <t>4. ChuyÓn lç n¨m tr­íc cña ho¹t ®éng b¸n hàng và cung cÊp dÞch vô</t>
  </si>
  <si>
    <t>5. Lîi nhuËn kÕ to¸n chÞu thuÕ cña ho¹t ®éng b¸n hµng vµ cung cÊp dÞch vô</t>
  </si>
  <si>
    <t>6. ThuÕ thu nhËp doanh nghiÖp ph¶i nép cña ho¹t ®éng b¸n hµng vµ cung cÊp dÞch vô</t>
  </si>
  <si>
    <t>7. ThuÕ TNDN tõ ho¹t ®éng kinh doanh bÊt ®éng s¶n (2% doanh thu kinh doanh bÊt ®éng s¶n).</t>
  </si>
  <si>
    <t>8. ThuÕ thu nhËp doanh nghiÖp cßn ph¶i nép</t>
  </si>
  <si>
    <t>th«ng tin bæ sung cho c¸c kho¶n môc tr×nh bµy trªn b¸o c¸o kÕt qu¶ kinh doanh (§VT: ®ång)</t>
  </si>
  <si>
    <t>ThuyÕt minh theo biªn b¶n häp hoÆc nghÞ quyÕt H§ cæ ®«ng</t>
  </si>
  <si>
    <t>Hao mßn B§S ®Çu t­</t>
  </si>
  <si>
    <t>§Çu t­ dµi h¹n kh¸c</t>
  </si>
  <si>
    <t>Vèn gãp liªn doanh</t>
  </si>
  <si>
    <t>§Çu t­ vµo c«ng ty liªn kÕt</t>
  </si>
  <si>
    <t>Hµng ho¸ B§S ®Çu t­</t>
  </si>
  <si>
    <t>Doanh thu B§S ®Çu t­</t>
  </si>
  <si>
    <t>Ngµnh nghÒ kinh doanh</t>
  </si>
  <si>
    <t>Nguyªn t¾c ghi nhËn c¸c kho¶n tiÒn vµ c¸c kho¶n t­¬ng ®­¬ng tiÒn</t>
  </si>
  <si>
    <t xml:space="preserve">Nguyªn t¾c ghi nhËn vµ khÊu hao TSC§ </t>
  </si>
  <si>
    <t xml:space="preserve">               Tµi s¶n cè ®Þnh v« h×nh</t>
  </si>
  <si>
    <t>Lç do thanh lý c¸c kho¶n ®Çu t­ ng¾n h¹n, dµi h¹n</t>
  </si>
  <si>
    <t>Lç chªnh lÖch tû gi¸ ®· thùc hiÖn</t>
  </si>
  <si>
    <t>Lç chªnh lÖch tû gi¸ ch­a thùc hiÖn</t>
  </si>
  <si>
    <t>Dù phßng gi¶m gi¸ c¸c kho¶n ®Çu t­ ng¾n h¹n, dµi h¹n</t>
  </si>
  <si>
    <t>Chi phÝ thuÕ TNDN ho·n l¹i ph¸t sinh tõ c¸c kho¶n chªnh lÖch t¹m thêi ph¶i chÞu thuÕ</t>
  </si>
  <si>
    <t>Chi phÝ thuÕ TNDN ho·n l¹i ph¸t sinh tõ viÖc hoµn nhËp tµi s¶n thuÕ thu nhËp ho·n l¹i</t>
  </si>
  <si>
    <t>Thu nhËp thuÕ TNDN ph¸t sinh tõ c¸c kho¶n chªnh lÖch t¹m thêi ®­îc khÊu trõ</t>
  </si>
  <si>
    <t>Thu nhËp thuÕ TNDN ph¸t sinh tõ c¸c kho¶n lç tÝnh thuÕ vµ ­u ®·i thuÕ ch­a sö dông</t>
  </si>
  <si>
    <t>Thu nhËp thuÕ TNDN ph¸t sinh tõ viÖc hoµn nhËp thuÕ thu nhËp ho·n l¹i ph¶i tr¶</t>
  </si>
  <si>
    <t>Tæng chi phÝ thuÕ thu nhËp doanh nghiªp ho·n l¹i</t>
  </si>
  <si>
    <t>Th«ng tin bæ sung cho c¸c kho¶n môc tr×nh bµy trong B¸o c¸o l­u chuyÓn tiÒn tÖ (VND)</t>
  </si>
  <si>
    <t>34.</t>
  </si>
  <si>
    <t>Cty CP Nh«m ViÖt Dòng</t>
  </si>
  <si>
    <t>B¸o lao ®éng x· héi</t>
  </si>
  <si>
    <t>Cty CP xi m¨ng Hoµng Mai</t>
  </si>
  <si>
    <t>Cty TNHH L§ thiÕt bÞ c«ng nghiÖp TH VI</t>
  </si>
  <si>
    <t>Cty CP th­¬ng m¹i &amp; TB TK LIGHTING</t>
  </si>
  <si>
    <t>Cty CP thiÕt bÞ ®iÖn H­ng Ph¸t</t>
  </si>
  <si>
    <t>Cty TNHH dÞch vô TM vËn t¶i §¹i ViÖt</t>
  </si>
  <si>
    <t>Cty CP thiÕt bÞ M¹nh B¶o</t>
  </si>
  <si>
    <t>Cty TNHH TMDV kü thuËt SIS</t>
  </si>
  <si>
    <t>PNF STEEL CO.LTD</t>
  </si>
  <si>
    <t>Cty cæ phÇn B¾c S¬n</t>
  </si>
  <si>
    <t>Cty CP §TXD &amp; TM An ThÞnh Ph¸t</t>
  </si>
  <si>
    <t>DNTN HuyÒn An</t>
  </si>
  <si>
    <t>Cty TNHH th­¬ng m¹i DV &amp; XD Ph­íc An</t>
  </si>
  <si>
    <t>Cty CP ®Çu t­ &amp; KD XNK V¹n ThuËn</t>
  </si>
  <si>
    <t>Doanh nghiÖp t­ nh©n  N§S</t>
  </si>
  <si>
    <t>Cty CP §TXD &amp; PT gi¸o dôc Hßa B×nh</t>
  </si>
  <si>
    <t>Cty TNHH sx th­¬ng m¹i §¹t B×nh</t>
  </si>
  <si>
    <t>Cty l¾p m¸y ®iÖn n­íc</t>
  </si>
  <si>
    <t>Cty TNHH c¬ khÝ Huy Thµnh</t>
  </si>
  <si>
    <t>Cty CP ®Çu t­ ViÖt Hoµng</t>
  </si>
  <si>
    <t>Cty CP IDC</t>
  </si>
  <si>
    <t>XN TM&amp;XD S«ng Hång_Cty TNHH Tµu Thñy</t>
  </si>
  <si>
    <t>Cty TNHH DVTM &amp; XD Hµ Minh</t>
  </si>
  <si>
    <t>CtyCP TM&amp; SX §oµn Minh</t>
  </si>
  <si>
    <t>Cty TNHH nÒn mãng vµ XD T&amp;N</t>
  </si>
  <si>
    <t>DNTN BÝch §oµn</t>
  </si>
  <si>
    <t>Cty CP X©y dùng &amp; vËn chuyÓn Duy Anh</t>
  </si>
  <si>
    <t>Cty TNHH SEABIG ViÖt Nam</t>
  </si>
  <si>
    <t>Cty CP §T XD&amp;TM §oµn Nguyªn</t>
  </si>
  <si>
    <t>Cty CP TM&amp;KD TOGI</t>
  </si>
  <si>
    <t>Cty CP §TKS&amp;XD Quúnh Anh</t>
  </si>
  <si>
    <t>CN CT CP VT&amp;DV Petrolimex Hµ T©y</t>
  </si>
  <si>
    <t>Cty CP ®Çu t­ &amp; XD ViÖt Ph­¬ng</t>
  </si>
  <si>
    <t>V.05</t>
  </si>
  <si>
    <t>VI.18</t>
  </si>
  <si>
    <t>VI.19</t>
  </si>
  <si>
    <t>VI.20</t>
  </si>
  <si>
    <t>Chi nh¸nh Hµ Néi</t>
  </si>
  <si>
    <t>Ban Tæng Gi¸m ®èc:</t>
  </si>
  <si>
    <r>
      <t>Héi ®ång qu¶n trÞ vµ</t>
    </r>
    <r>
      <rPr>
        <b/>
        <sz val="12"/>
        <rFont val="Times New Roman"/>
        <family val="1"/>
      </rPr>
      <t xml:space="preserve"> </t>
    </r>
    <r>
      <rPr>
        <sz val="12"/>
        <rFont val=".VnTimeH"/>
        <family val="2"/>
      </rPr>
      <t>ban tæng gi¸m ®èc</t>
    </r>
  </si>
  <si>
    <t>X©y dùng c«ng tr×nh ®­êng s¾t vµ ®­êng bé;</t>
  </si>
  <si>
    <t>C«ng ty TNHH SUS ViÖt Nam</t>
  </si>
  <si>
    <t>Cty TNHH §T&amp; PT c«ng nghÖ Th¸i Hoµ</t>
  </si>
  <si>
    <t>XÝ nghiÖp S«ng §µ 5.08 - C«ng ty CP S«ng §µ 5</t>
  </si>
  <si>
    <t>C«ng ty TNHH TM VT Hång Trang</t>
  </si>
  <si>
    <t>C«ng ty TNHH Thµnh §«</t>
  </si>
  <si>
    <t>C«ng ty CP §T PT XD &amp; TM Th¨ng Long</t>
  </si>
  <si>
    <t>C«ng ty §Çu t­ x©y dùng 702</t>
  </si>
  <si>
    <t>C«ng ty TNHH HuÊn H­ng</t>
  </si>
  <si>
    <t>C«ng ty CP XD &amp; TV QL Dù ¸n</t>
  </si>
  <si>
    <t>Doanh nghiÖp TN Thanh L©m</t>
  </si>
  <si>
    <t>DNTN KD tæng hîp D­¬ng §iÒu</t>
  </si>
  <si>
    <t>CN S«ng §µ 707</t>
  </si>
  <si>
    <t>C«ng ty TNHH XD vµ TM Trung Kiªn</t>
  </si>
  <si>
    <t>C«ng ty CP XD SX TM Hµ T©y</t>
  </si>
  <si>
    <t>C«ng ty TNHH XD Th¸i B×nh</t>
  </si>
  <si>
    <t>C«ng ty CP T­ vÊn c«ng nghÖ vµ kiÓm ®Þnh XD</t>
  </si>
  <si>
    <t>C«ng ty TNHH T©n §øc ViÖt</t>
  </si>
  <si>
    <t>Bïi Duy HiÓn - CH 50 Phïng H­ng</t>
  </si>
  <si>
    <t>C«ng ty CP VËt liÖu sè 1 S¬n La</t>
  </si>
  <si>
    <t>C«ng ty CP S¶n xuÊt l­íi thÐp, rä ®¸ ViÖt Nam</t>
  </si>
  <si>
    <t>DNTN Tr­êng V©n</t>
  </si>
  <si>
    <t>C«ng ty CP XNK §Çu t­ th­¬ng m¹i ViÖt Nam</t>
  </si>
  <si>
    <t>Cty CP §Çu t­ XD §øc ThÞnh</t>
  </si>
  <si>
    <t>C«ng ty TNHH SX &amp; TM V©n D­¬ng</t>
  </si>
  <si>
    <t>C«ng ty CP cÊu kiÖn bª t«ng ®óc s½n Th¨ng Long</t>
  </si>
  <si>
    <t>TrÇn ThÞ Mai Ch©u</t>
  </si>
  <si>
    <t>C«ng ty CP Kh¶o s¸t &amp; §T XD V¹n Xu©n</t>
  </si>
  <si>
    <t>C«ng ty TNHH §T XD &amp; DV TM Minh Xu©n</t>
  </si>
  <si>
    <t>C«ng ty TNHH XD vµ §T TM H¶i Nam</t>
  </si>
  <si>
    <t>Vay vèn l­u ®éng, cè ®Þnh + l·i vay</t>
  </si>
  <si>
    <t>Mua vËt liÖu x©y dùng, tr¹m biÕn ¸p, vËn chuyÓn ...</t>
  </si>
  <si>
    <t>Héi ®ång qu¶n trÞ vµ Ban Tæng Gi¸m ®èc C«ng ty t¹i ngµy lËp b¸o c¸o tµi chÝnh cã:</t>
  </si>
  <si>
    <t>- Chi nh¸nh Hå chÝ Minh</t>
  </si>
  <si>
    <t>2. Tµi s¶n dµi h¹n kh¸c</t>
  </si>
  <si>
    <t>2. Tµi s¶n cè ®Þnh v« h×nh</t>
  </si>
  <si>
    <t>3. Chi phÝ x©y dùng c¬ b¶n dë dang</t>
  </si>
  <si>
    <t>T¨ng, gi¶m tµi s¶n cè ®Þnh v« h×nh</t>
  </si>
  <si>
    <t xml:space="preserve"> B¸o c¸o tµi chÝnh</t>
  </si>
  <si>
    <t>ChÕ ®é kÕ to¸n ¸p dông: C«ng ty ¸p dông ChÕ ®é kÕ to¸n ViÖt Nam ban hµnh kÌm theo QuyÕt ®Þnh sè 15/2006 Q§-BTC ngµy 20/03/2006 cña Bé Tµi chÝnh vµ c¸c Th«ng t­ söa ®æi, bæ sung ®Õn ngµy lËp b¸o c¸o.</t>
  </si>
  <si>
    <t>Nguyªn t¾c ghi nhËn c¸c kho¶n tiÒn</t>
  </si>
  <si>
    <t>C¸c nghiÖp vô kinh tÕ ph¸t sinh b»ng ngo¹i tÖ ®­îc quy ®æi ra ®ång ViÖt Nam theo tû gi¸ giao dÞch thùc tÕ cña ng©n hµng giao dÞch t¹i thêi ®iÓm ph¸t sinh nghiÖp vô. Toµn bé chªnh lÖch tû gi¸ hèi ®o¸i ph¸t sinh trong kú cña ho¹t ®éng s¶n xuÊt kinh doanh, kÓ c¶ ho¹t ®éng ®Çu t­ x©y dùng c¬ b¶n ®­îc h¹ch to¸n ngay vµo chi phÝ tµi chÝnh hoÆc doanh thu ho¹t ®éng tµi chÝnh trong kú.</t>
  </si>
  <si>
    <t>Nguyªn t¾c ghi nhËn c¸c kho¶n t­¬ng ®­¬ng tiÒn:</t>
  </si>
  <si>
    <t>C¸c kho¶n t­¬ng ®­¬ng tiÒn lµ c¸c kho¶n ®Çu t­ ng¾n h¹n kh«ng qu¸ 3 th¸ng cã kh¶ n¨ng chuyÓn ®æi dÔ dµng thµnh tiÒn vµ kh«ng cã nhiÒu rñi ro trong chuyÓn ®æi thµnh tiÒn kÓ tõ ngµy mua kho¶n ®Çu t­ ®ã t¹i thêi ®iÓm b¸o c¸o.</t>
  </si>
  <si>
    <t>Nguyªn t¾c ghi nhËn hµng tån kho:</t>
  </si>
  <si>
    <t xml:space="preserve">Nguyªn t¾c ®¸nh gi¸ hµng tån kho: </t>
  </si>
  <si>
    <t>T¹i quyÕt ®Þnh sè 07/CT-Q§-H§QT, c«ng ty chñ tr­¬ng thùc hiÖn chuyÓn ®æi C«ng ty TNHH §Çu t­ khai th¸c kho¸ng s¶n SOTRACO thµnh c«ng ty cæ phÇn, theo ®ã sÏ xö lý c¸c kho¶n tµi chÝnh phï hîp víi c¸c chÕ ®é, quy ®Þnh hiÖn hµnh vµ dù kiÕn hoµn thµnh tr­íc ngµy 15/05/2013. Tuy nhiªn ®Õn thêi ®iÓm 30/06/2013 c¸c thñ tôc liªn quan ®Õn viÖc chuyÓn ®æi vÉn ch­a hoµn thµnh.</t>
  </si>
  <si>
    <t>L­u ý víi ng­êi ®äc b¸o c¸o: kh«ng phñ nhËn ý kiÕn nªu trªn, chóng t«i muèn l­u ý víi ng­êi ®äc BCTC r»ng:</t>
  </si>
  <si>
    <t>Ban Tæng Gi¸m ®èc C«ng ty chÞu tr¸ch nhiÖm vÒ viÖc lËp vµ tr×nh bµy b¸o c¸o tµi chÝnh ph¶n ¸nh trung thùc, hîp lý t×nh h×nh tµi chÝnh, kÕt qu¶ ho¹t ®éng kinh doanh vµ t×nh h×nh l­u chuyÓn tiÒn tÖ cña C«ng ty trong kú. Trong qu¸ tr×nh lËp b¸o c¸o tµi chÝnh, Ban Gi¸m ®èc C«ng ty kh¼ng ®Þnh nh÷ng vÊn ®Ò sau ®©y:</t>
  </si>
  <si>
    <r>
      <t>Ph­¬ng ph¸p x¸c ®Þnh gi¸ trÞ hµng tån kho cuèi kú:</t>
    </r>
    <r>
      <rPr>
        <sz val="11.5"/>
        <rFont val=".VnTime"/>
        <family val="2"/>
      </rPr>
      <t xml:space="preserve"> Gi¸ trÞ hµng tån kho cuèi kú = Gi¸ trÞ hµng tån ®Çu kú + Gi¸ trÞ hµng nhËp trong kú - Gi¸ trÞ hµng xuÊt trong kú.</t>
    </r>
    <r>
      <rPr>
        <sz val="11.5"/>
        <color indexed="10"/>
        <rFont val=".VnTime"/>
        <family val="2"/>
      </rPr>
      <t xml:space="preserve"> </t>
    </r>
    <r>
      <rPr>
        <sz val="11.5"/>
        <rFont val=".VnTime"/>
        <family val="2"/>
      </rPr>
      <t>(Ph­¬ng ph¸p tÝnh gi¸ hµng xuÊt kho  theo ph­¬ng ph¸p b×nh qu©n gia quyÒn).</t>
    </r>
  </si>
  <si>
    <r>
      <t>LËp dù phßng ph¶i thu khã ®ßi:</t>
    </r>
    <r>
      <rPr>
        <sz val="11.5"/>
        <rFont val=".VnTime"/>
        <family val="2"/>
      </rPr>
      <t xml:space="preserve"> Dù phßng nî ph¶i thu khã ®ßi thÓ hiÖn phÇn gi¸ trÞ dù kiÕn bÞ tæn thÊt cña c¸c kho¶n nî ph¶i thu cã kh¶ n¨ng kh«ng ®­îc kh¸ch hµng thanh to¸n ®èi víi c¸c kho¶n ph¶i thu t¹i thêi ®iÓm lËp B¸o c¸o tµi chÝnh.</t>
    </r>
  </si>
  <si>
    <t>03 n¨m</t>
  </si>
  <si>
    <r>
      <t>Ph­¬ng ph¸p h¹ch to¸n hµng tån kho:</t>
    </r>
    <r>
      <rPr>
        <sz val="11.5"/>
        <rFont val=".VnTime"/>
        <family val="2"/>
      </rPr>
      <t xml:space="preserve"> C«ng ty ¸p dông ph­¬ng ph¸p kª khai th­êng xuyªn ®Ó h¹ch to¸n hµng tån kho.</t>
    </r>
  </si>
  <si>
    <t>C¸c kho¶n ph¶i thu ng¾n h¹n kh¸c</t>
  </si>
  <si>
    <t>NguyÔn TiÕn Dòng - Phßng T­ vÊn</t>
  </si>
  <si>
    <t>Hµ néi, ngµy 07/08/2012</t>
  </si>
  <si>
    <t>Ph¹m Tr­êng Tam</t>
  </si>
  <si>
    <t>Hoµng V¨n To¶n</t>
  </si>
  <si>
    <t>C«ng ty Cæ phÇn §Çu t­ &amp; Th­¬ng m¹i DÇu KhÝ S«ng §µ</t>
  </si>
  <si>
    <t>Kh¸i qu¸t chung vÒ C«ng ty Cæ phÇn §Çu t­ &amp; Th­¬ng m¹i DÇu KhÝ S«ng §µ</t>
  </si>
  <si>
    <t>cña C«ng ty Cæ phÇn §Çu t­ &amp; Th­¬ng m¹i DÇu KhÝ S«ng §µ</t>
  </si>
  <si>
    <t>Vèn ®iÒu lÖ: 111.144.720.000 ®ång (Mét tr¨m m­êi mét tû mét tr¨m bèn m­¬i bèn triÖu b¶y tr¨m hai m­¬i ngh×n ®ång ch½n)</t>
  </si>
  <si>
    <t>C«ng ty con</t>
  </si>
  <si>
    <t>Ph¶i tr¶ theo tiÕn ®é hîp ®ång x©y dùng</t>
  </si>
  <si>
    <t>D341</t>
  </si>
  <si>
    <t>D336</t>
  </si>
  <si>
    <t>N336</t>
  </si>
  <si>
    <t>N311</t>
  </si>
  <si>
    <t>N331</t>
  </si>
  <si>
    <t>N333</t>
  </si>
  <si>
    <t>N334</t>
  </si>
  <si>
    <t>N335</t>
  </si>
  <si>
    <t>N318</t>
  </si>
  <si>
    <t>N338</t>
  </si>
  <si>
    <t>D338</t>
  </si>
  <si>
    <t>D331</t>
  </si>
  <si>
    <t>D333</t>
  </si>
  <si>
    <t>Ph¶i tr¶ dµi h¹n ng­êi b¸n</t>
  </si>
  <si>
    <t xml:space="preserve">Ph¶i tr¶ dµi h¹n néi bé </t>
  </si>
  <si>
    <t>Ph¶i tr¶ dµi h¹n kh¸c</t>
  </si>
  <si>
    <t>Dù phßng gi¶m gi¸ ®Çu t­ CK ng¾n h¹n</t>
  </si>
  <si>
    <t>Tµi kho¶n</t>
  </si>
  <si>
    <t>Ph¶i thu theo tiÕn ®é hîp ®ång</t>
  </si>
  <si>
    <t>D131</t>
  </si>
  <si>
    <t>D136</t>
  </si>
  <si>
    <t>D138</t>
  </si>
  <si>
    <t>N131</t>
  </si>
  <si>
    <t>N134</t>
  </si>
  <si>
    <t>N138</t>
  </si>
  <si>
    <t>N136</t>
  </si>
  <si>
    <t>N142</t>
  </si>
  <si>
    <t>C¸c kho¶n thuÕ ph¶i thu</t>
  </si>
  <si>
    <t>N135</t>
  </si>
  <si>
    <t>N121</t>
  </si>
  <si>
    <t>Ph¶i thu dµi h¹n cña kh¸ch hµng</t>
  </si>
  <si>
    <t>Ph¶i thu néi bé dµi h¹n</t>
  </si>
  <si>
    <t>Ph¶i thu néi bé ng¾n h¹n</t>
  </si>
  <si>
    <t>Ph¶i thu dµi h¹n kh¸c</t>
  </si>
  <si>
    <t>Ph¶i thu ng¾n h¹n kh¸c</t>
  </si>
  <si>
    <t>Dù phßng ph¶i thu dµi h¹n khã ®ßi</t>
  </si>
  <si>
    <t>Dù phßng ph¶i thu ng¾n h¹n khã ®ßi</t>
  </si>
  <si>
    <t>Ph¶i thu ng¾n h¹n cña kh¸ch hµng</t>
  </si>
  <si>
    <t>D222</t>
  </si>
  <si>
    <t>D223</t>
  </si>
  <si>
    <t>§Çu t­ vµo c«ng ty con</t>
  </si>
  <si>
    <t>Dù phßng gi¶m gi¸ CK ®Çu t­ dµi h¹n</t>
  </si>
  <si>
    <t>Tµi s¶n thuÕ thu nhËp ho·n l¹i</t>
  </si>
  <si>
    <t>A131</t>
  </si>
  <si>
    <t>A331</t>
  </si>
  <si>
    <t>C¸c kho¶n thu nhËp ph¸t sinh do ®Çu t­ t¹m thêi c¸c kho¶n vay riªng biÖt trong khi chê sö dông vµo môc ®Ých cã ®­îc tµi s¶n dë dang th× ph¶i ghi gi¶m trõ (-) vµo chi phÝ ®i vay ph¸t sinh khi vèn ho¸.</t>
  </si>
  <si>
    <t>Chi phÝ thuÕ thu nhËp doanh nghiÖp hiÖn hµnh ®­îc x¸c ®Þnh trªn c¬ së tæng thu nhËp chÞu thuÕ vµ thuÕ suÊt thuÕ thu nhËp doanh nghiÖp trong n¨m hiÖn hµnh.</t>
  </si>
  <si>
    <t>C¸c nghÜa vô vÒ thuÕ:</t>
  </si>
  <si>
    <r>
      <t>ThuÕ gi¸ trÞ gia t¨ng: C«ng ty thùc hiÖn kª khai vµ nép thuÕ gi¸ trÞ gia t¨ng t¹i Côc thuÕ TP Hµ Néi. C¸c ®¬n vÞ trùc thuéc kª khai thuÕ GTGT t¹i n¬i cã trô së theo ®¨ng ký thuÕ vµ n¬i ®ang thùc hiÖn c¸c Hîp ®ång x©y l¾p c«ng tr×nh. Hµng th¸ng cã lËp tê khai thuÕ ®Çu vµo vµ thuÕ ®Çu ra theo ®óng qui ®Þnh. Khi kÕt thóc n¨m tµi chÝnh ®¬n vÞ lËp c¸c B¸o c¸o thuÕ Gi¸ trÞ gia t¨ng theo qui ®Þnh hiÖn hµnh.</t>
    </r>
    <r>
      <rPr>
        <b/>
        <i/>
        <sz val="11.5"/>
        <rFont val=".VnTime"/>
        <family val="2"/>
      </rPr>
      <t xml:space="preserve"> </t>
    </r>
  </si>
  <si>
    <t xml:space="preserve">ThuÕ thu nhËp doanh nghiÖp: C«ng ty thùc hiÖn quyÕt to¸n thuÕ thu nhËp doanh nghiÖp theo quy ®Þnh. ThuÕ suÊt thuÕ thu nhËp doanh nghiÖp lµ 25% theo quy ®Þnh cña LuËt ThuÕ thu nhËp doanh nghiÖp. </t>
  </si>
  <si>
    <t>Cty Liªn doanh x©y dùng VIC</t>
  </si>
  <si>
    <t>Cty TNHH TM &amp; XD Thu Ng©n</t>
  </si>
  <si>
    <t>Cty CP XNK vµ x©y dùng B¹ch §»ng</t>
  </si>
  <si>
    <t>Cty TNHH Hoµng Ch©u</t>
  </si>
  <si>
    <t>Cty TNHH Hanjin Shipping ViÖt Nam</t>
  </si>
  <si>
    <t>Cty XD &amp; PT CN Th¨ng Long</t>
  </si>
  <si>
    <t>Cty TNHH MTV VT &amp; TM Quang Trung</t>
  </si>
  <si>
    <t xml:space="preserve"> - Ph©n phèi c¸c quü</t>
  </si>
  <si>
    <t>- Vèn gãp cña c¸c cæ ®«ng</t>
  </si>
  <si>
    <t>Doanh thu b¸n hµng</t>
  </si>
  <si>
    <t>Doanh thu cung cÊp dÞch vô</t>
  </si>
  <si>
    <t>Doanh thu kh¸c</t>
  </si>
  <si>
    <t xml:space="preserve">     + Hµng b¸n bÞ tr¶ l¹i</t>
  </si>
  <si>
    <t>Doanh thu thuÇn b¸n hµng</t>
  </si>
  <si>
    <t>TiÒn vµ t­¬ng ®­¬ng tiÒn cuèi kú</t>
  </si>
  <si>
    <t>04</t>
  </si>
  <si>
    <t>05</t>
  </si>
  <si>
    <t>06</t>
  </si>
  <si>
    <t>6,7, 8,11</t>
  </si>
  <si>
    <t xml:space="preserve">     - Nguyªn gi¸ </t>
  </si>
  <si>
    <t xml:space="preserve">     - Gi¸ trÞ hao mßn luü kÕ (*)</t>
  </si>
  <si>
    <t>STT</t>
  </si>
  <si>
    <t>Ngµy</t>
  </si>
  <si>
    <t>Néi dung</t>
  </si>
  <si>
    <t>Sè tiÒn</t>
  </si>
  <si>
    <t xml:space="preserve">Tªn </t>
  </si>
  <si>
    <t xml:space="preserve">Nî </t>
  </si>
  <si>
    <t>Cã</t>
  </si>
  <si>
    <t>16</t>
  </si>
  <si>
    <t>Tªn tµi kho¶n</t>
  </si>
  <si>
    <t>V.01</t>
  </si>
  <si>
    <t>V.02</t>
  </si>
  <si>
    <t>V.03</t>
  </si>
  <si>
    <t>V.04</t>
  </si>
  <si>
    <t>V.06</t>
  </si>
  <si>
    <t>V.07</t>
  </si>
  <si>
    <t>V.08</t>
  </si>
  <si>
    <t>V.09</t>
  </si>
  <si>
    <t>Cuèi</t>
  </si>
  <si>
    <t>Tr×nh bµy gi¸ trÞ vµ lý do cña c¸c kho¶n tiÒn vµ t­¬ng ®­¬ng tiÒn lín don doanh nghiÖp n¾m gi÷ nh­ng kh«ng ®­îc sö dông do cã sù h¹n chÕ cña ph¸p luËt hoÆc c¸c rµng buéc kh¸c mµ doanh nghiÖp ph¶i thùc hiÖn</t>
  </si>
  <si>
    <t>Nh÷ng sù kiÖn ph¸t sinh sau ngµy kho¸ sæ</t>
  </si>
  <si>
    <t>Th«ng tin vÒ c¸c bªn liªn quan</t>
  </si>
  <si>
    <t>Th«ng tin vÒ ho¹t ®éng liªn tôc</t>
  </si>
  <si>
    <t>9. T¨ng, gi¶m tµi s¶n cè ®Þnh thuª tµi chÝnh</t>
  </si>
  <si>
    <t xml:space="preserve"> - Thuª tµi chÝnh trong n¨m</t>
  </si>
  <si>
    <t xml:space="preserve"> - Mua l¹i TSC§ thuª tµi chÝnh</t>
  </si>
  <si>
    <t xml:space="preserve"> - Tr¶ l¹i TSC§ thuª tµi chÝnh</t>
  </si>
  <si>
    <t>8. Doanh thu ch­a thùc hiÖn</t>
  </si>
  <si>
    <t>9. Quü ph¸t triÓn khoa häc c«ng nghÖ</t>
  </si>
  <si>
    <t xml:space="preserve"> - T¹i ngµy cuèi n¨m</t>
  </si>
  <si>
    <t>Sè d­ cuèi n¨m</t>
  </si>
  <si>
    <t xml:space="preserve"> - Nî dµi h¹n kh¸c</t>
  </si>
  <si>
    <t>c.</t>
  </si>
  <si>
    <t xml:space="preserve"> - Tµi s¶n thuÕ thu nhËp ho·n l¹i liªn quan ®Õn kho¶n chªnh lÖch t¹m thêi ®­îc khÊu trõ</t>
  </si>
  <si>
    <t>Ph¶i thu dµi h¹n néi bé: 0</t>
  </si>
  <si>
    <t>T¨ng, gi¶m tµi s¶n cè ®Þnh thuª tµi chÝnh: 0</t>
  </si>
  <si>
    <t>T¨ng, gi¶m bÊt ®éng s¶n ®Çu t­: 0</t>
  </si>
  <si>
    <t>C¸c kho¶n nî thuª tµi chÝnh: 0</t>
  </si>
  <si>
    <t>Tµi s¶n thuÕ thu nhËp ho·n l¹i ph¶i tr¶: 0</t>
  </si>
  <si>
    <t>Ph¶i tr¶ dµi h¹n néi bé: 0</t>
  </si>
  <si>
    <t xml:space="preserve"> - Tµi s¶n thuÕ thu nhËp ho·n l¹i liªn quan ®Õn kho¶n lç tÝnh thuÕ ch­a sö dông</t>
  </si>
  <si>
    <t xml:space="preserve"> - Tµi s¶n thuÕ thu nhËp ho·n l¹i liªn quan ®Õn kho¶n ­u ®·i tÝnh thuÕ ch­a sö dông</t>
  </si>
  <si>
    <t xml:space="preserve"> - Kho¶n hoµn nhËp tµi s¶n thuÕ thu nhËp ho·n l¹i ®ã ®­îc ghi nhËn tõ c¸c n¨m tr­íc</t>
  </si>
  <si>
    <t>Céng tµi s¶n thuÕ thu nhËp DN ho·n l¹i</t>
  </si>
  <si>
    <t>ThuÕ thu nhËp doanh nghiÖp ho·n l¹i ph¶i tr¶</t>
  </si>
  <si>
    <t xml:space="preserve"> - ThuÕ thu nhËp ho·n l¹i ph¶i tr¶ ph¸t sinh tõ c¸c kho¶n chªnh lÖch t¹m thêi chÞu thuÕ</t>
  </si>
  <si>
    <t>3. §Çu t­ dµi h¹n kh¸c</t>
  </si>
  <si>
    <t>4. Dù phßng gi¶m gi¸ chøng kho¸n §T DH (*)</t>
  </si>
  <si>
    <t>9. C¸c kho¶n ph¶i tr¶, ph¶i nép kh¸c</t>
  </si>
  <si>
    <t>10. Dù phßng ph¶i tr¶ ng¾n h¹n</t>
  </si>
  <si>
    <t>11. Quü khen th­ëng, phóc lîi</t>
  </si>
  <si>
    <t>6 th¸ng ®Çu n¨m 2013</t>
  </si>
  <si>
    <t>CN C«ng ty Cæ phÇn L.Q Jotun Hµ Néi</t>
  </si>
  <si>
    <t>C«ng ty CP Nh«m ViÖt Dòng</t>
  </si>
  <si>
    <t>C«ng ty CP ®¸ Granite &amp; Marble tù nhiªn Thiªn S¬n</t>
  </si>
  <si>
    <t>Cty TNHH Minh H»ng</t>
  </si>
  <si>
    <t>XN S«ng §µ 503 - C«ng ty S§µ 5</t>
  </si>
  <si>
    <t xml:space="preserve">  Gi÷a niªn ®é kÕt thóc ngµy 30/06/2013</t>
  </si>
  <si>
    <t>Gi÷a niªn ®é kÕt thóc ngµy 30/06/2013</t>
  </si>
  <si>
    <t>Chi phÝ ho¹t ®éng tµi chÝnh</t>
  </si>
  <si>
    <t>Lç b¸n ngo¹i tÖ</t>
  </si>
  <si>
    <t>Chi phÝ tµi chÝnh kh¸c</t>
  </si>
  <si>
    <t>Chi phÝ dù phßng</t>
  </si>
  <si>
    <t>Tµi s¶n lµ tiÒn vµ c«ng nî cã gèc b»ng ngo¹i tÖ cuèi kú ®­îc quy ®æi sang §ång ViÖt Nam theo tû gi¸ b×nh qu©n liªn ng©n hµng do Ng©n hµng nhµ n­íc c«ng bè t¹i ngµy kÕt thóc niªn ®é kÕ to¸n. Chªnh lÖch tû gi¸ ®­îc h¹ch to¸n theo ChuÈn mùc kÕ to¸n ViÖt Nam sè 10: ¶nh h­ëng cña viÖc thay ®æi tû gi¸ hèi ®o¸i.</t>
  </si>
  <si>
    <t xml:space="preserve"> - Kho¶n hoµn thuÕ thu nhËp ho·n l¹i ph¶i tr¶ ®· ®­îc ghi nhËn tõ c¸c n¨m tr­íc</t>
  </si>
  <si>
    <t xml:space="preserve"> - ThuÕ thu nhËp ho·n l¹i ph¶i tr¶</t>
  </si>
  <si>
    <t>-</t>
  </si>
  <si>
    <t>Ph­¬ng ph¸p khÊu hao TSC§</t>
  </si>
  <si>
    <t>V­ên c©y l©u n¨m</t>
  </si>
  <si>
    <t>Thêi gian KH</t>
  </si>
  <si>
    <t xml:space="preserve">               Nhµ cöa, vËt kiÕn tróc</t>
  </si>
  <si>
    <t xml:space="preserve">               M¸y mãc thiÕt bÞ</t>
  </si>
  <si>
    <t xml:space="preserve">               Ph­¬ng tiÖn vËn t¶i</t>
  </si>
  <si>
    <t>Sè cuèi n¨m</t>
  </si>
  <si>
    <t>C¸c sæ kÕ to¸n ®­îc l­u gi÷ ®Ó ph¶n ¸nh t×nh h×nh tµi chÝnh cña C«ng ty, víi møc ®é trung thùc, hîp lý t¹i bÊt cø thêi ®iÓm nµo vµ ®¶m b¶o r»ng b¸o c¸o tµi chÝnh tu©n thñ c¸c quy ®Þnh hiÖn hµnh cña Nhµ n­íc. §ång thêi cã tr¸ch  nhiÖm trong viÖc b¶o ®¶m an toµn tµi s¶n cña C«ng ty vµ thùc hiÖn c¸c biÖn ph¸p thÝch hîp ®Ó ng¨n chÆn, ph¸t hiÖn c¸c hµnh vi gian lËn vµ c¸c ph¹m vi kh¸c;</t>
  </si>
  <si>
    <t>Phã Tæng Gi¸m ®èc</t>
  </si>
  <si>
    <t>Vèn 30/6/2010</t>
  </si>
  <si>
    <t>Vèn 1/1/2010</t>
  </si>
  <si>
    <t>Vèn 30/6/2011</t>
  </si>
  <si>
    <t>B¶ng ®¸nh gi¸ kh¸i qu¸t t×nh h×nh tµi chÝnh cña C«ng ty</t>
  </si>
  <si>
    <t>8. Ph¶i tr¶ theo tiÕn ®é kÕ ho¹ch hîp ®ång XD</t>
  </si>
  <si>
    <t xml:space="preserve">2. Dù phßng gi¶m gi¸ chøng kho¸n §T NH(*) </t>
  </si>
  <si>
    <t>3. Ph¶i thu néi bé</t>
  </si>
  <si>
    <t>2. ThuÕ GTGT ®­îc khÊu trõ</t>
  </si>
  <si>
    <t>ViÖc lËp B¸o c¸o tµi chÝnh tu©n thñ theo c¸c quy ®Þnh cña ChuÈn mùc vµ ChÕ ®é KÕ to¸n ViÖt Nam yªu cÇu Ban Tæng Gi¸m ®èc ph¶i cã nh÷ng ­íc tÝnh vµ gi¶ ®Þnh ¶nh h­ëng ®Õn sè liÖu b¸o c¸o vÒ c¸c c«ng nî, tµi s¶n vµ viÖc tr×nh bµy c¸c kho¶n c«ng nî vµ tµi s¶n tiÒm tµng t¹i ngµy lËp B¸o c¸o tµi chÝnh còng nh­ c¸c sè liÖu B¸o c¸o vÒ doanh thu vµ chi phÝ trong suèt kú ho¹t ®éng. KÕt qu¶ ho¹t ®éng kinh doanh thùc tÕ cã thÓ kh¸c víi c¸c ­íc tÝnh, gi¶ ®Þnh ®Æt ra.</t>
  </si>
  <si>
    <t>C¸c kho¶n chi phÝ thùc tÕ ch­a ph¸t sinh nh­ng ®­îc trÝch tr­íc vµo chi phÝ s¶n xuÊt, kinh doanh trong kú ®Ó ®¶m b¶o khi chi phÝ ph¸t sinh thùc tÕ kh«ng g©y ®ét biÕn cho chi phÝ s¶n xuÊt kinh doanh trªn c¬ së ®¶m b¶o nguyªn t¾c phï hîp gi÷a doanh thu vµ chi phÝ. Khi c¸c chi phÝ ®ã ph¸t sinh, nÕu cã chªnh lÖch víi sè ®· trÝch, kÕ to¸n tiÕn hµnh ghi bæ sung hoÆc ghi gi¶m chi phÝ t­¬ng øng víi phÇn chªnh lÖch.</t>
  </si>
  <si>
    <t xml:space="preserve">C¸c chi phÝ tr¶ tr­íc chØ liªn quan ®Õn chi phÝ s¶n xuÊt kinh doanh n¨m tµi chÝnh hiÖn t¹i ®­îc ghi nhËn lµ chi phÝ tr¶ tr­íc ng¾n h¹n. </t>
  </si>
  <si>
    <t>C¸c chi phÝ sau ®©y ®· ph¸t sinh trong n¨m tµi chÝnh nh­ng ®­îc h¹ch to¸n vµo chi phÝ tr¶ tr­íc dµi h¹n ®Ó ph©n bæ dÇn vµo kÕt qu¶ ho¹t ®éng kinh doanh:</t>
  </si>
  <si>
    <t>VI.</t>
  </si>
  <si>
    <t>VII.</t>
  </si>
  <si>
    <t>Nh÷ng th«ng tin kh¸c</t>
  </si>
  <si>
    <t>a.</t>
  </si>
  <si>
    <t>b.</t>
  </si>
  <si>
    <t>Vay dµi h¹n</t>
  </si>
  <si>
    <t>Nî dµi h¹n</t>
  </si>
  <si>
    <t>24.</t>
  </si>
  <si>
    <t xml:space="preserve">Doanh thu thuÇn vÒ b¸n hµng vµ cung cÊp dÞch vô </t>
  </si>
  <si>
    <t>Chi phÝ thuÕ thu nhËp doanh nghiÖp hiÖn hµnh</t>
  </si>
  <si>
    <t xml:space="preserve">Doanh thu ho¹t ®éng tµi chÝnh </t>
  </si>
  <si>
    <t>Chi phÝ thuÕ thu nhËp doanh nghiÖp ho·n l¹i: 0</t>
  </si>
  <si>
    <t>Chi phÝ ®å dïng v¨n phßng</t>
  </si>
  <si>
    <t>ThuÕ, phÝ, lÖ phÝ</t>
  </si>
  <si>
    <t>VP</t>
  </si>
  <si>
    <t>C¸c giao dÞch vÒ vèn víi c¸c chñ së h÷u vµ ph©n phèi cæ tøc, lîi nhuËn ®­îc chia:</t>
  </si>
  <si>
    <t>B.</t>
  </si>
  <si>
    <t>Sè cuèi quý</t>
  </si>
  <si>
    <t xml:space="preserve"> Sè cuèi quý  </t>
  </si>
  <si>
    <t>Cty VÜnh §¹t</t>
  </si>
  <si>
    <t>Cty BH BIDV</t>
  </si>
  <si>
    <t>Cty TNHH Song Toµn</t>
  </si>
  <si>
    <t>Cn Cty CP VËn t¶i thñy I - C¶ng Hßa B×nh</t>
  </si>
  <si>
    <t>Cty CP VT &amp; DV §­êng S«ng S¬n La</t>
  </si>
  <si>
    <t>Cty CP TM &amp; VT Toµn Th¾ng</t>
  </si>
  <si>
    <t>Cty CP XD &amp; TM Vinh Phó ThÞnh</t>
  </si>
  <si>
    <t>Doanh nghÖp t­ nh©n Doanh Anh</t>
  </si>
  <si>
    <t>Cty CP Thiªn Hµ ViÖt Nam</t>
  </si>
  <si>
    <t>Cty CP ViÖt V­¬ng</t>
  </si>
  <si>
    <t>Cty TNHH TB PCCC Th¨ng Long CN Hµ Néi</t>
  </si>
  <si>
    <t>Cty TNHH §T &amp; xóc tiÕn TM Hµ Néi</t>
  </si>
  <si>
    <t>Quý 2 n¨m 2013</t>
  </si>
  <si>
    <t>C«ng ty CP PT C«ng nghÖ LPC GROUP</t>
  </si>
  <si>
    <t>Hå ThÞ Kim Phóc</t>
  </si>
  <si>
    <t>Cty CP c¬ khÝ XD &amp; TM Hoµng Linh</t>
  </si>
  <si>
    <t>B¸n bu«n m¸y mãc, thiÕt bÞ vµ phô tïng m¸y kh¸c</t>
  </si>
  <si>
    <t>Khai th¸c c¸t, ®¸ sái, ®Êt sÐt;</t>
  </si>
  <si>
    <t>S¶n xuÊt vËt liÖu x©y dùng tõ ®Êt sÐt;</t>
  </si>
  <si>
    <t>ChÕ biÕn, b¶o qu¶n thñy s¶n vµ c¸c s¶n phÈm t­ thñy s¶n;</t>
  </si>
  <si>
    <t>N01567</t>
  </si>
  <si>
    <t>N0157</t>
  </si>
  <si>
    <t>N0158</t>
  </si>
  <si>
    <t>N015</t>
  </si>
  <si>
    <t>N0111</t>
  </si>
  <si>
    <t>N0112</t>
  </si>
  <si>
    <t>N0113</t>
  </si>
  <si>
    <t>TiÒn göi ng©n hµng</t>
  </si>
  <si>
    <t>N0141</t>
  </si>
  <si>
    <t>N0144</t>
  </si>
  <si>
    <t>N014</t>
  </si>
  <si>
    <t>D139</t>
  </si>
  <si>
    <t>D022</t>
  </si>
  <si>
    <t>D211</t>
  </si>
  <si>
    <t>D212</t>
  </si>
  <si>
    <t>D213</t>
  </si>
  <si>
    <t>D241</t>
  </si>
  <si>
    <t>D217</t>
  </si>
  <si>
    <t>D2141</t>
  </si>
  <si>
    <t>D2142</t>
  </si>
  <si>
    <t>D228</t>
  </si>
  <si>
    <t>D221</t>
  </si>
  <si>
    <t>D229</t>
  </si>
  <si>
    <t>D242</t>
  </si>
  <si>
    <t>D262</t>
  </si>
  <si>
    <t>D024</t>
  </si>
  <si>
    <t>D411</t>
  </si>
  <si>
    <t>D417</t>
  </si>
  <si>
    <t>D419</t>
  </si>
  <si>
    <t>D412</t>
  </si>
  <si>
    <t>D413</t>
  </si>
  <si>
    <t>D414</t>
  </si>
  <si>
    <t>D415</t>
  </si>
  <si>
    <t>D044</t>
  </si>
  <si>
    <t>D421</t>
  </si>
  <si>
    <t>D431</t>
  </si>
  <si>
    <t>D461</t>
  </si>
  <si>
    <t>D466</t>
  </si>
  <si>
    <t>M· TK</t>
  </si>
  <si>
    <t>N012</t>
  </si>
  <si>
    <t>Hao mßn TSC§ thuª tµi chÝnh</t>
  </si>
  <si>
    <t>Tµi s¶n dµi h¹n kh¸c</t>
  </si>
  <si>
    <t>§Çu t­ vµo c«ng ty liªn kÕt, liªn doanh</t>
  </si>
  <si>
    <t>Hao mßn TSC§ h÷u h×nh</t>
  </si>
  <si>
    <t>D2143</t>
  </si>
  <si>
    <t>D2147</t>
  </si>
  <si>
    <t>Tæng Gi¸m §èc</t>
  </si>
  <si>
    <t>2. TiÒn chi tr¶ cho ng­êi cung cÊp hµng hãa, dÞch vô</t>
  </si>
  <si>
    <t>3</t>
  </si>
  <si>
    <t>N011</t>
  </si>
  <si>
    <t>Doanh thu ho¹t ®éng tµi chÝnh</t>
  </si>
  <si>
    <t>Tæng hîp ®iÒu chØnh kiÓm to¸n</t>
  </si>
  <si>
    <t>Phô lôc Biªn b¶n kiÓm to¸n</t>
  </si>
  <si>
    <t>§èi t­îng</t>
  </si>
  <si>
    <t>4</t>
  </si>
  <si>
    <t>N¨m nay</t>
  </si>
  <si>
    <t>D441</t>
  </si>
  <si>
    <t>N1331</t>
  </si>
  <si>
    <t>N1332</t>
  </si>
  <si>
    <t>N339</t>
  </si>
  <si>
    <t>Dù phßng ph¶i tr¶ ng¾n h¹n</t>
  </si>
  <si>
    <t>ThuÕ vµ c¸c kho¶n ph¶i thu nhµ n­íc</t>
  </si>
  <si>
    <t>7. Dù phßng ph¶i tr¶ dµi h¹n</t>
  </si>
  <si>
    <t>D339</t>
  </si>
  <si>
    <t>Dù phßng ph¶i tr¶ dµi h¹n</t>
  </si>
  <si>
    <t>Dù phßng trî cÊp mÊt viÖc lµm</t>
  </si>
  <si>
    <t>3. Vèn kh¸c cña chñ së h÷u</t>
  </si>
  <si>
    <t>D4112</t>
  </si>
  <si>
    <t>Vèn kh¸c cña chñ së h÷u</t>
  </si>
  <si>
    <t>4. Cæ phiÕu ng©n quü (*)</t>
  </si>
  <si>
    <t>Nguån vèn ®Çu t­ XDCB</t>
  </si>
  <si>
    <t>Chi phÝ thuÕ TNDN hiÖn hµnh</t>
  </si>
  <si>
    <t>Chi phÝ thuÕ TNDN ho·n l¹i</t>
  </si>
  <si>
    <t>17.</t>
  </si>
  <si>
    <t>18.</t>
  </si>
  <si>
    <t>Tham chiÕu</t>
  </si>
  <si>
    <t>Print</t>
  </si>
  <si>
    <t>Phô lôc kiÓm to¸n</t>
  </si>
  <si>
    <t>print</t>
  </si>
  <si>
    <t>V.10</t>
  </si>
  <si>
    <t>2. TiÒn chi tr¶ vèn gãp cho c¸c CSH, mua l¹i CP cña DN ®· ph¸t hµnh</t>
  </si>
  <si>
    <t>D351</t>
  </si>
  <si>
    <t>Nguån kinh phÝ (kh«ng cã sè liÖu)</t>
  </si>
  <si>
    <t>Tµi s¶n thuª ngoµi (kh«ng cã sè liÖu)</t>
  </si>
  <si>
    <t>Môc ®Ých trÝch lËp vµ sö dông c¸c quü:</t>
  </si>
  <si>
    <t>C¸c kho¶n ®Çu t­ tµi chÝnh ng¾n h¹n</t>
  </si>
  <si>
    <t>Quü dù phßng tµi chÝnh ®­îc trÝch lËp trong n¨m tõ phÇn lîi nhuËn sau thuÕ n¨m 2007 theo Biªn b¶n häp cña §¹i héi ®ång cæ ®«ng C«ng ty cæ phÇn S«ng §µ 6.04, phï hîp víi c¸c quy ®Þnh t¹i §iÒu lÖ C«ng ty.</t>
  </si>
  <si>
    <t>Quü §Çu t­ ph¸t triÓn trÝch lËp trong n¨m b»ng sè thuÕ thu nhËp doanh nghiÖp ®­îc miÔn n¨m 2007 vµ ®­îc dïng ®Ó bæ sung vèn ®iÒu lÖ cña C«ng ty khi më réng s¶n xuÊt kinh doanh.</t>
  </si>
  <si>
    <t>KiÓm tra l¹i Biªn b¶n §H§ C§ n¨m 2008 vÒ viÖc ph©n chia lîi nhuËn</t>
  </si>
  <si>
    <r>
      <t>Tæng</t>
    </r>
    <r>
      <rPr>
        <b/>
        <sz val="7"/>
        <rFont val="Times New Roman"/>
        <family val="1"/>
      </rPr>
      <t xml:space="preserve"> </t>
    </r>
    <r>
      <rPr>
        <b/>
        <sz val="12"/>
        <rFont val=".VnTime"/>
        <family val="2"/>
      </rPr>
      <t>Doanh thu b¸n hµng vµ cung cÊp dÞch vô</t>
    </r>
  </si>
  <si>
    <t>Kh¶ n¨ng thanh to¸n tæng qu¸t (lÇn)</t>
  </si>
  <si>
    <t>Trong n¨m kh«ng cã kho¶n tiÒn nµo do doanh nghiÖp n¾m gi÷ mµ kh«ng ®­îc sö dông.</t>
  </si>
  <si>
    <t>C¸c giao dÞch kh«ng b»ng tiÒn ¶nh h­ëng ®Õn B¸o c¸o l­u chuyÓn tiÒn tÖ vµ c¸c kho¶n tiÒn do doanh nghiÖp n¾m gi÷ nh­ng kh«ng ®­îc sö dông.</t>
  </si>
  <si>
    <t>4. Ph¶i thu theo tiÕn ®é kÕ ho¹ch H§ XD</t>
  </si>
  <si>
    <t>kÕt thóc ngµy 31/12/2010</t>
  </si>
  <si>
    <t>Nhµ vµ QSD ®Êt</t>
  </si>
  <si>
    <t>V.11</t>
  </si>
  <si>
    <t>2. Tr¶ tr­íc cho ng­êi b¸n</t>
  </si>
  <si>
    <t>2. Ph¶i tr¶ ng­êi b¸n</t>
  </si>
  <si>
    <t>Lîi nhuËn gép vÒ b¸n hµng vµ cung cÊp DV</t>
  </si>
  <si>
    <t>Doanh thu thuÇn vÒ b¸n hµng vµ cung cÊp DV</t>
  </si>
  <si>
    <t>V.12</t>
  </si>
  <si>
    <t>V.13</t>
  </si>
  <si>
    <t>Quý 2 n¾m 2013</t>
  </si>
  <si>
    <t>06 - 08 n¨m</t>
  </si>
  <si>
    <t>06 - 25 n¨m</t>
  </si>
  <si>
    <t>Chi phÝ nh©n c«ng</t>
  </si>
  <si>
    <t>Ph¶i tr¶ cho ng­êi b¸n</t>
  </si>
  <si>
    <t>Ng­êi mua tr¶ tiÒn tr­íc</t>
  </si>
  <si>
    <t>ThuÕ nép NN</t>
  </si>
  <si>
    <t>Ph¶i tr¶ CNV</t>
  </si>
  <si>
    <t>Chi phÝ ph¶i tr¶</t>
  </si>
  <si>
    <t>Ph¶i tr¶ néi bé</t>
  </si>
  <si>
    <t>Ph¶i tr¶ kh¸c</t>
  </si>
  <si>
    <t>Doanh thu</t>
  </si>
  <si>
    <t>Doanh thu tµi chÝnh</t>
  </si>
  <si>
    <t>Chi phÝ NVL trùc tiÕp</t>
  </si>
  <si>
    <t>Chi phÝ nh©n c«ng trùc tiÕp</t>
  </si>
  <si>
    <t>Chi phÝ m¸y thi c«ng</t>
  </si>
  <si>
    <t>Chi phÝ sx chung</t>
  </si>
  <si>
    <t>KÕt qu¶</t>
  </si>
  <si>
    <t>Céng</t>
  </si>
  <si>
    <t>BÊt ®éng s¶n ®Çu t­</t>
  </si>
  <si>
    <t>Ph¶i thu dµi h¹n kh¸c: 0</t>
  </si>
  <si>
    <t>Chi phÝ XDCB dë dang</t>
  </si>
  <si>
    <t xml:space="preserve"> - T¹i ngµy cuèi kú</t>
  </si>
  <si>
    <t>2. Sè t¨ng trong kú</t>
  </si>
  <si>
    <t>4.  Sè d­ cuèi kú</t>
  </si>
  <si>
    <t xml:space="preserve"> 4. Sè d­ cuèi kú</t>
  </si>
  <si>
    <t>1. T¹i ngµy ®Çu kú</t>
  </si>
  <si>
    <t>2. T¹i ngµy cuèi kú</t>
  </si>
  <si>
    <t>3. Sè d­ ®Çu kú nµy</t>
  </si>
  <si>
    <t>4. Sè d­ cuèi kú</t>
  </si>
  <si>
    <t>Nh÷ng sù kiÖn ph¸t sinh sau ngµy kÕt thóc kú kÕ to¸n</t>
  </si>
  <si>
    <t>Kh«ng ph¸t sinh</t>
  </si>
  <si>
    <t>ViÖc lËp vµ tr×nh bµy b¸o c¸o tµi chÝnh gi÷a niªn ®é nµy thuéc tr¸ch nhiÖm cña Tæng Gi¸m ®èc C«ng ty. Tr¸ch nhiÖm cña chóng t«i lµ ®­a ra ý kiÕn vÒ c¸c B¸o c¸o tµi chÝnh gi÷a niªn ®é nµy c¨n cø trªn kÕt qu¶ so¸t xÐt cña chóng t«i.</t>
  </si>
  <si>
    <t>Trô së chÝnh: TÇng 4, CT3, tßa nhµ Fodacon, ®­êng TrÇn Phó, ph­êng Mç Lao, quËn Hµ §«ng, Hµ Néi.</t>
  </si>
  <si>
    <t>VÒ B¸o c¸o tµi chÝnh gi÷a niªn ®é kÕt thóc ngµy ngµy 30/06/2013</t>
  </si>
  <si>
    <t>C«ng ty CP Hµng Kªnh</t>
  </si>
  <si>
    <t>Cty CP kü thuËt x©y dùng Tramico</t>
  </si>
  <si>
    <t xml:space="preserve">KhÊu hao ®­îc trÝch theo ph­¬ng ph¸p ®­êng th¼ng. Thêi gian khÊu hao ®­îc tÝnh phï hîp theo quy ®Þnh t¹i Th«ng t­ sè 45/2013/TT-BTC ngµy 25/04/2013 cña Bé Tµi chÝnh. Thêi gian khÊu hao ®­îc ­íc tÝnh nh­ sau: </t>
  </si>
  <si>
    <t>ThuyÕt minh B¸o c¸o tµi chÝnh</t>
  </si>
  <si>
    <t>Lo¹i tµi s¶n</t>
  </si>
  <si>
    <t>C¸c kho¶n ph¶i tr¶ ng­êi b¸n, ph¶i tr¶ néi bé, ph¶i tr¶ kh¸c, kho¶n vay t¹i thêi ®iÓm b¸o c¸o, nÕu:</t>
  </si>
  <si>
    <t>Tµi s¶n thiÕu chê xö lý ®­îc ph©n lo¹i lµ nî ng¾n h¹n.</t>
  </si>
  <si>
    <t>b¶ng c©n ®èi ph¸t sinh sau kiÓm to¸n</t>
  </si>
  <si>
    <t>CÊm xãa</t>
  </si>
  <si>
    <t>D­ ®Çu kú</t>
  </si>
  <si>
    <t>PH¸t sinh trong kú</t>
  </si>
  <si>
    <t>D­ cuèi kú</t>
  </si>
  <si>
    <t>®iÒu chØnh kiÓm to¸n</t>
  </si>
  <si>
    <t>d­ cuèi kú sau ®iÒu chØnh</t>
  </si>
  <si>
    <t>Sè theo bckt</t>
  </si>
  <si>
    <t>chªnh lÖch</t>
  </si>
  <si>
    <t>nî</t>
  </si>
  <si>
    <t>cã</t>
  </si>
  <si>
    <t>ThuÕ thu nhËp ho·n l¹i ®­îc ph©n lo¹i lµ nî dµi h¹n.</t>
  </si>
  <si>
    <t>Gãp vèn thµnh lËp c«ng ty</t>
  </si>
  <si>
    <t>§Çu t­ tµi chÝnh dµi h¹n kh¸c:</t>
  </si>
  <si>
    <t>Cty CP §T vµ TM DÇu khÝ Nghi S¬n</t>
  </si>
  <si>
    <t>Cty CP Bª t«ng C«ng nghÖ cao</t>
  </si>
  <si>
    <t>Cty CP C¬ ®iÖn l¹nh ViÖt NhËt</t>
  </si>
  <si>
    <t>Cty CP thi c«ng c¬ giíi vµ l¾p m¸y dÇu khÝ</t>
  </si>
  <si>
    <t>Dù phßng gi¶m gi¸ c¸c kho¶n ®Çu t­ dµi h¹n</t>
  </si>
  <si>
    <t>Ng©n hµng §T &amp;PT ViÖt Nam</t>
  </si>
  <si>
    <t>XN 11 - CN TCT 319</t>
  </si>
  <si>
    <t>C«ng ty CP Cavico §iÖn Lùc vµ Tµi Nguyªn</t>
  </si>
  <si>
    <t>Cty TNHH MTV XD &amp; TM LËp Tr­êng</t>
  </si>
  <si>
    <t>Cty CP Cavico Giao Th«ng</t>
  </si>
  <si>
    <t>B§H thñy ®iÖn Huéi Qu¶ng</t>
  </si>
  <si>
    <t>Cty TNHH TM &amp; XD Hoµng C­êng</t>
  </si>
  <si>
    <t>C«ng nî §µo Xu©n D­¬ng</t>
  </si>
  <si>
    <t>C«ng ty CP XDTM &amp; dÞch vô Phó ThÞnh</t>
  </si>
  <si>
    <t>BQL di d©n t¸i ®Þnh c­ T§ S¬n La</t>
  </si>
  <si>
    <t>C«ng ty CP XD H¹ §×nh</t>
  </si>
  <si>
    <t>C«ng ty CP nghiªn cøu vµ PTCN míi HD</t>
  </si>
  <si>
    <t>B§H DA thñy ®iÖn Hña Na</t>
  </si>
  <si>
    <t>TrÇn Kim Thanh</t>
  </si>
  <si>
    <t>TT PT quü ®Êt Nh¬n Tr¹ch</t>
  </si>
  <si>
    <t>Cty TNHH ®iÖn Tr­êng Giang</t>
  </si>
  <si>
    <t>C«ng ty b¶o hiÓm MIC Hµ Néi</t>
  </si>
  <si>
    <t>Chi nh¸nh x¨ng dÇu S¬n La</t>
  </si>
  <si>
    <t>Cty CP x¨ng dÇu Thôy D­¬ng</t>
  </si>
  <si>
    <t>Cty CP XNK &amp; XD T©n Tr­êng S¬n</t>
  </si>
  <si>
    <t>Cty TNHH x©y dùng th­¬ng m¹i ELIMO</t>
  </si>
  <si>
    <t>C«ng ty TNHH TrÝ D­¬ng</t>
  </si>
  <si>
    <t>C«ng ty TNHH Hång Trang</t>
  </si>
  <si>
    <t>Cty TNHH s¶n xuÊt &amp; TM H»ng ThÞnh</t>
  </si>
  <si>
    <t>C«ng ty ®iÖn lùc Hoµi §øc</t>
  </si>
  <si>
    <t>Cty CP c«ng nghiÖp Má ®¸ &amp; VLXD</t>
  </si>
  <si>
    <t>C«ng ty Anh Ph¸t</t>
  </si>
  <si>
    <t>Cty CP thñy ®iÖn NËm ChiÕn</t>
  </si>
  <si>
    <t>B­u ®iÖn M­êng La</t>
  </si>
  <si>
    <t>NguyÔn Kh¾c Dòng</t>
  </si>
  <si>
    <t>NguyÔn C«ng S¬n</t>
  </si>
  <si>
    <t>§µo Xu©n D­¬ng</t>
  </si>
  <si>
    <t>NguyÔn Xu©n M¹nh</t>
  </si>
  <si>
    <t>Phan V¨n M¹nh</t>
  </si>
  <si>
    <t>NguyÔn ThÕ Lanh</t>
  </si>
  <si>
    <t>Lª V¨n C­êng</t>
  </si>
  <si>
    <t>§ç Huy L­¬ng</t>
  </si>
  <si>
    <t>TrÇn NguyÔn Anh TuÊn</t>
  </si>
  <si>
    <t>- Liªn quan ®Õn sè d­ ®Çu n¨m cña kho¶n môc Dù phßng ®Çu t­ tµi chÝnh dµi h¹n gi¸ trÞ lµ 33.626.484.267 ®ång, lµ kho¶n trÝch lËp dù phßng cho kho¶n ®Çu t­ vµo C«ng ty TNHH ®Çu t­ vµ khai th¸c kho¸ng s¶n SOTRACO t¹i thêi ®iÓm 31/12/2012, C«ng ty ®· ghi nhËn vµo Chi phÝ s¶n xuÊt kinh doanh n¨m 2012 lµ 16.626.484.267 ®ång vµ ghi nhËn trªn kho¶n môc Chi phÝ tr¶ tr­íc dµi h¹n lµ 17 tû ®ång. Víi c¸c tµi liÖu ®­îc cung cÊp, chóng t«i kh«ng ®ñ c¨n cø ®Ó x¸c ®Þnh viÖc trÝch lËp nªu trªn lµ phï hîp víi quy ®Þnh t¹i Th«ng t­ sè 228/2009/TT-BTC ngµy 07/12/2009 cña Bé Tµi chÝnh.</t>
  </si>
  <si>
    <t>Cty CP Thñy ®iÖn Cao nguyªn S.§µ</t>
  </si>
  <si>
    <t>Cty CP Thñy ®iÖn §r¨k §rinh</t>
  </si>
  <si>
    <t>Cty CP DV V.t¶i D.khÝ Cöu Long</t>
  </si>
  <si>
    <t>Cty CP Thñy ®iÖn §r¨k tih</t>
  </si>
  <si>
    <t>Cty IDICO Nam §Þnh</t>
  </si>
  <si>
    <t>Cty CP CÇu BOT §ång Nai</t>
  </si>
  <si>
    <t>Sè tiÒn vµ c¸c kho¶n t­¬ng ®­¬ng tiÒn thùc cã trong c«ng ty con hoÆc ®¬n vÞ kinh doanh kh¸c ®­îc mua hoÆc thanh lý</t>
  </si>
  <si>
    <t>PhÇn gi¸ trÞ tµi s¶n vµ nî ph¶i tr¶ kh«ng ph¶i lµ tiÒn vµ c¸c kho¶n t­¬ng ®­¬ng tiÒn trong c«ng ty con hoÆc ®­on vÞ kinh doanh kh¸c ®­îc mua hoÆc thanh lý trong kú</t>
  </si>
  <si>
    <t xml:space="preserve"> Niªn ®é kÕ to¸n: B¾t ®Çu tõ ngµy 01/01 vµ kÕt thóc vµo ngµy 31/12 n¨m d­¬ng lÞch.</t>
  </si>
  <si>
    <t>- §Çu t­ tµi chÝnh ng¾n h¹n</t>
  </si>
  <si>
    <t>Tuyªn bè tu©n thñ chuÈn mùc kÕ to¸n vµ chÕ ®é kÕ to¸n:</t>
  </si>
  <si>
    <t>C«ng cô dông cô xuÊt dïng cã gi¸ trÞ lín.</t>
  </si>
  <si>
    <t>X¸c ®Þnh ®­îc chi phÝ ph¸t sinh cho giao dÞch vµ chi phÝ ®Ó hoµn thµnh giao dÞch cung cÊp dÞch vô ®ã;</t>
  </si>
  <si>
    <t>Chi nh¸nh Hå ChÝ Minh</t>
  </si>
  <si>
    <t>101/26 §inh Bé LÜnh, P.26, Q.B×nh Th¹nh, TP HCM.</t>
  </si>
  <si>
    <t>- Vèn ®Çu t­ cña nhµ n­íc</t>
  </si>
  <si>
    <t>QuyÒn sö dông ®Êt</t>
  </si>
  <si>
    <t>Nhµ</t>
  </si>
  <si>
    <t>C¬ së h¹ tÇng</t>
  </si>
  <si>
    <t>Gi¸ trÞ cßn l¹i cña bÊt ®éng s¶n ®Çu t­</t>
  </si>
  <si>
    <t>T¨ng trong n¨m</t>
  </si>
  <si>
    <t>Gi¶m trong n¨m</t>
  </si>
  <si>
    <t>V.24</t>
  </si>
  <si>
    <t>IV. C¸c kho¶n ®Çu t­ tµi chÝnh dµi h¹n</t>
  </si>
  <si>
    <t>V. Tµi s¶n dµi h¹n kh¸c</t>
  </si>
  <si>
    <t xml:space="preserve">2. Ph¶i tr¶ dµi h¹n néi bé </t>
  </si>
  <si>
    <t>3. Ph¶i tr¶ dµi h¹n kh¸c</t>
  </si>
  <si>
    <t>5. Chªnh lÖch ®¸nh gi¸ l¹i tµi s¶n</t>
  </si>
  <si>
    <t>Kho¶n môc</t>
  </si>
  <si>
    <t>Sè d­ cuèi kú</t>
  </si>
  <si>
    <t>Gi¸ trÞ hao mßn luü kÕ</t>
  </si>
  <si>
    <t>Sè d­ ®Çu n¨m</t>
  </si>
  <si>
    <t>Tæng céng</t>
  </si>
  <si>
    <t>Nhµ cöa, vËt kiÕn tróc</t>
  </si>
  <si>
    <t>M¸y mãc thiÕt bÞ</t>
  </si>
  <si>
    <t>PTVT - truyÒn dÉn</t>
  </si>
  <si>
    <t>ThiÕt bÞ qu¶n lý</t>
  </si>
  <si>
    <t>TSC§ kh¸c</t>
  </si>
  <si>
    <t>Cho n¨m tµi chÝnh</t>
  </si>
</sst>
</file>

<file path=xl/styles.xml><?xml version="1.0" encoding="utf-8"?>
<styleSheet xmlns="http://schemas.openxmlformats.org/spreadsheetml/2006/main">
  <numFmts count="64">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_-;\-* #,##0.00_-;_-* &quot;-&quot;??_-;_-@_-"/>
    <numFmt numFmtId="166" formatCode="_-* #,##0_-;\-* #,##0_-;_-* &quot;-&quot;??_-;_-@_-"/>
    <numFmt numFmtId="167" formatCode="_-* #,##0_-;\-* #,##0_-;_-* &quot;-&quot;_-;_-@_-"/>
    <numFmt numFmtId="168" formatCode="&quot;\&quot;#,##0;[Red]&quot;\&quot;\-#,##0"/>
    <numFmt numFmtId="169" formatCode="&quot;\&quot;#,##0.00;[Red]&quot;\&quot;\-#,##0.00"/>
    <numFmt numFmtId="170" formatCode="&quot; &quot;#,##0;[Red]\-&quot; &quot;#,##0"/>
    <numFmt numFmtId="171" formatCode="_-&quot; &quot;* #,##0_-;\-&quot; &quot;* #,##0_-;_-&quot; &quot;* &quot;-&quot;_-;_-@_-"/>
    <numFmt numFmtId="172" formatCode="_-&quot; &quot;* #,##0.00_-;\-&quot; &quot;* #,##0.00_-;_-&quot; &quot;* &quot;-&quot;??_-;_-@_-"/>
    <numFmt numFmtId="173" formatCode="#,###"/>
    <numFmt numFmtId="174" formatCode="#,##0.000_ "/>
    <numFmt numFmtId="175" formatCode="#\.###.00_);\(#\.###.00\)"/>
    <numFmt numFmtId="176" formatCode="_ * #,##0_ ;_ * \-#,##0_ ;_ * &quot;-&quot;_ ;_ @_ "/>
    <numFmt numFmtId="177" formatCode="_ * #,##0.00_ ;_ * \-#,##0.00_ ;_ * &quot;-&quot;??_ ;_ @_ "/>
    <numFmt numFmtId="178" formatCode="_ &quot;\&quot;* #,##0_ ;_ &quot;\&quot;* \-#,##0_ ;_ &quot;\&quot;* &quot;-&quot;_ ;_ @_ "/>
    <numFmt numFmtId="179" formatCode="_ &quot;\&quot;* #,##0.00_ ;_ &quot;\&quot;* \-#,##0.00_ ;_ &quot;\&quot;* &quot;-&quot;??_ ;_ @_ "/>
    <numFmt numFmtId="180" formatCode="#,##0\ &quot;F&quot;;[Red]\-#,##0\ &quot;F&quot;"/>
    <numFmt numFmtId="181" formatCode="#,##0.00\ &quot;F&quot;;\-#,##0.00\ &quot;F&quot;"/>
    <numFmt numFmtId="182" formatCode="#,##0.00\ &quot;F&quot;;[Red]\-#,##0.00\ &quot;F&quot;"/>
    <numFmt numFmtId="183" formatCode="_-* #,##0\ &quot;F&quot;_-;\-* #,##0\ &quot;F&quot;_-;_-* &quot;-&quot;\ &quot;F&quot;_-;_-@_-"/>
    <numFmt numFmtId="184" formatCode="_(* #,##0.0000_);_(* \(#,##0.0000\);_(* &quot;-&quot;??_);_(@_)"/>
    <numFmt numFmtId="185" formatCode="&quot;\&quot;#,##0;[Red]&quot;\&quot;&quot;\&quot;\-#,##0"/>
    <numFmt numFmtId="186" formatCode="&quot;\&quot;#,##0.00;[Red]&quot;\&quot;&quot;\&quot;&quot;\&quot;&quot;\&quot;&quot;\&quot;&quot;\&quot;\-#,##0.00"/>
    <numFmt numFmtId="187" formatCode="_ * #,##0.00_)&quot;$&quot;_ ;_ * \(#,##0.00\)&quot;$&quot;_ ;_ * &quot;-&quot;??_)&quot;$&quot;_ ;_ @_ "/>
    <numFmt numFmtId="188" formatCode="_-* #,##0\ _V_N_§_-;_-* #,##0\ _V_N_§\-;_-* &quot;-&quot;??\ _V_N_§_-;_-@_-"/>
    <numFmt numFmtId="189" formatCode="#,##0.0_);\(#,##0.0\)"/>
    <numFmt numFmtId="190" formatCode="_-&quot;$&quot;* #,##0.00_-;\-&quot;$&quot;* #,##0.00_-;_-&quot;$&quot;* &quot;-&quot;??_-;_-@_-"/>
    <numFmt numFmtId="191" formatCode="0.000_)"/>
    <numFmt numFmtId="192" formatCode="m/d"/>
    <numFmt numFmtId="193" formatCode="0.0%;[Red]\(0.0%\)"/>
    <numFmt numFmtId="194" formatCode="_ * #,##0.00_)&quot;£&quot;_ ;_ * \(#,##0.00\)&quot;£&quot;_ ;_ * &quot;-&quot;??_)&quot;£&quot;_ ;_ @_ "/>
    <numFmt numFmtId="195" formatCode="0.0%;\(0.0%\)"/>
    <numFmt numFmtId="196" formatCode="#,##0;\(#,##0\)"/>
    <numFmt numFmtId="197" formatCode="\t0.00%"/>
    <numFmt numFmtId="198" formatCode="\U\S\$#,##0.00;\(\U\S\$#,##0.00\)"/>
    <numFmt numFmtId="199" formatCode="_-* #,##0\ _D_M_-;\-* #,##0\ _D_M_-;_-* &quot;-&quot;\ _D_M_-;_-@_-"/>
    <numFmt numFmtId="200" formatCode="_-* #,##0.00\ _D_M_-;\-* #,##0.00\ _D_M_-;_-* &quot;-&quot;??\ _D_M_-;_-@_-"/>
    <numFmt numFmtId="201" formatCode="\t#\ ??/??"/>
    <numFmt numFmtId="202" formatCode="_-[$€]* #,##0.00_-;\-[$€]* #,##0.00_-;_-[$€]* &quot;-&quot;??_-;_-@_-"/>
    <numFmt numFmtId="203" formatCode="#,##0\ &quot;$&quot;_);[Red]\(#,##0\ &quot;$&quot;\)"/>
    <numFmt numFmtId="204" formatCode="&quot;$&quot;###,0&quot;.&quot;00_);[Red]\(&quot;$&quot;###,0&quot;.&quot;00\)"/>
    <numFmt numFmtId="205" formatCode="&quot;ß&quot;#,##0;\-&quot;&quot;&quot;ß&quot;&quot;&quot;#,##0"/>
    <numFmt numFmtId="206" formatCode="#,##0.000_);\(#,##0.000\)"/>
    <numFmt numFmtId="207" formatCode="&quot;\&quot;#,##0;[Red]\-&quot;\&quot;#,##0"/>
    <numFmt numFmtId="208" formatCode="#,##0\ &quot;F&quot;;\-#,##0\ &quot;F&quot;"/>
    <numFmt numFmtId="209" formatCode="_-* #,##0\ &quot;DM&quot;_-;\-* #,##0\ &quot;DM&quot;_-;_-* &quot;-&quot;\ &quot;DM&quot;_-;_-@_-"/>
    <numFmt numFmtId="210" formatCode="_-* #,##0.00\ &quot;DM&quot;_-;\-* #,##0.00\ &quot;DM&quot;_-;_-* &quot;-&quot;??\ &quot;DM&quot;_-;_-@_-"/>
    <numFmt numFmtId="211" formatCode="0_)"/>
    <numFmt numFmtId="212" formatCode="&quot;$&quot;#,##0;[Red]\-&quot;$&quot;#,##0"/>
    <numFmt numFmtId="213" formatCode="_(* #,##0.0_);_(* \(#,##0.0\);_(* &quot;-&quot;??_);_(@_)"/>
    <numFmt numFmtId="214" formatCode="#"/>
    <numFmt numFmtId="215" formatCode="_ &quot;R&quot;\ * #,##0_ ;_ &quot;R&quot;\ * \-#,##0_ ;_ &quot;R&quot;\ * &quot;-&quot;_ ;_ @_ "/>
    <numFmt numFmtId="216" formatCode="&quot;¡Ì&quot;#,##0;[Red]\-&quot;¡Ì&quot;#,##0"/>
    <numFmt numFmtId="217" formatCode="&quot;£&quot;#,##0;[Red]\-&quot;£&quot;#,##0"/>
    <numFmt numFmtId="218" formatCode="#\ ###\ ###\ ###"/>
    <numFmt numFmtId="219" formatCode="#,##0.00000000"/>
    <numFmt numFmtId="220" formatCode="&quot;$&quot;#,##0"/>
    <numFmt numFmtId="221" formatCode="dd\-mm\-yyyy"/>
  </numFmts>
  <fonts count="181">
    <font>
      <sz val="12"/>
      <name val=".VnTime"/>
    </font>
    <font>
      <sz val="12"/>
      <name val=".VnTime"/>
    </font>
    <font>
      <b/>
      <sz val="11"/>
      <name val=".VnTime"/>
      <family val="2"/>
    </font>
    <font>
      <sz val="11"/>
      <name val=".VnTime"/>
      <family val="2"/>
    </font>
    <font>
      <b/>
      <sz val="11"/>
      <name val=".VnTimeH"/>
      <family val="2"/>
    </font>
    <font>
      <i/>
      <sz val="11"/>
      <name val=".VnTime"/>
      <family val="2"/>
    </font>
    <font>
      <b/>
      <i/>
      <sz val="11"/>
      <name val=".VnTime"/>
      <family val="2"/>
    </font>
    <font>
      <sz val="10"/>
      <name val="Arial"/>
      <family val="2"/>
    </font>
    <font>
      <b/>
      <sz val="10"/>
      <name val=".VnTimeH"/>
      <family val="2"/>
    </font>
    <font>
      <b/>
      <sz val="12"/>
      <name val="Arial"/>
      <family val="2"/>
    </font>
    <font>
      <b/>
      <sz val="18"/>
      <name val="Arial"/>
      <family val="2"/>
    </font>
    <font>
      <u/>
      <sz val="12"/>
      <color indexed="12"/>
      <name val="Times New Roman"/>
      <family val="1"/>
    </font>
    <font>
      <sz val="10"/>
      <name val=".VnAvant"/>
      <family val="2"/>
    </font>
    <font>
      <sz val="12"/>
      <name val="Arial"/>
      <family val="2"/>
    </font>
    <font>
      <sz val="10"/>
      <name val="Arial"/>
      <family val="2"/>
    </font>
    <font>
      <b/>
      <sz val="13"/>
      <color indexed="8"/>
      <name val=".VnTimeH"/>
      <family val="2"/>
    </font>
    <font>
      <sz val="14"/>
      <name val=".VnArial"/>
      <family val="2"/>
    </font>
    <font>
      <sz val="14"/>
      <name val="뼻뮝"/>
      <family val="3"/>
      <charset val="129"/>
    </font>
    <font>
      <sz val="12"/>
      <name val="바탕체"/>
      <family val="3"/>
    </font>
    <font>
      <sz val="12"/>
      <name val="뼻뮝"/>
      <family val="1"/>
      <charset val="129"/>
    </font>
    <font>
      <sz val="9"/>
      <name val="Arial"/>
      <family val="2"/>
    </font>
    <font>
      <sz val="12"/>
      <name val="바탕체"/>
      <family val="1"/>
      <charset val="129"/>
    </font>
    <font>
      <sz val="10"/>
      <name val="굴림체"/>
      <family val="3"/>
      <charset val="129"/>
    </font>
    <font>
      <sz val="12"/>
      <name val="Courier"/>
      <family val="3"/>
    </font>
    <font>
      <sz val="10"/>
      <name val=" "/>
      <family val="1"/>
      <charset val="136"/>
    </font>
    <font>
      <sz val="12"/>
      <name val="Times New Roman"/>
      <family val="1"/>
    </font>
    <font>
      <sz val="12"/>
      <name val=".VnTimeH"/>
      <family val="2"/>
    </font>
    <font>
      <sz val="14"/>
      <name val=".VnTimeH"/>
      <family val="2"/>
    </font>
    <font>
      <b/>
      <sz val="12"/>
      <name val=".VnTime"/>
      <family val="2"/>
    </font>
    <font>
      <i/>
      <sz val="12"/>
      <name val=".VnTime"/>
      <family val="2"/>
    </font>
    <font>
      <sz val="12"/>
      <name val=".VnTime"/>
      <family val="2"/>
    </font>
    <font>
      <b/>
      <sz val="13"/>
      <name val=".VnTime"/>
      <family val="2"/>
    </font>
    <font>
      <sz val="13"/>
      <name val=".VnTime"/>
      <family val="2"/>
    </font>
    <font>
      <b/>
      <sz val="14"/>
      <name val=".VnTimeH"/>
      <family val="2"/>
    </font>
    <font>
      <sz val="11"/>
      <name val=".VnTime"/>
      <family val="2"/>
    </font>
    <font>
      <b/>
      <sz val="11"/>
      <name val=".VnTime"/>
      <family val="2"/>
    </font>
    <font>
      <sz val="8"/>
      <name val=".VnTime"/>
      <family val="2"/>
    </font>
    <font>
      <b/>
      <sz val="13"/>
      <name val=".VnTimeH"/>
      <family val="2"/>
    </font>
    <font>
      <sz val="12"/>
      <name val=".VnTime"/>
      <family val="2"/>
    </font>
    <font>
      <b/>
      <i/>
      <sz val="12"/>
      <name val=".VnTime"/>
      <family val="2"/>
    </font>
    <font>
      <b/>
      <u/>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2"/>
      <name val="±¼¸²Ã¼"/>
      <family val="3"/>
      <charset val="129"/>
    </font>
    <font>
      <sz val="12"/>
      <name val="¹UAAA¼"/>
      <family val="3"/>
      <charset val="129"/>
    </font>
    <font>
      <sz val="11"/>
      <name val="±¼¸²Ã¼"/>
      <family val="3"/>
      <charset val="129"/>
    </font>
    <font>
      <sz val="12"/>
      <name val="µ¸¿òÃ¼"/>
      <family val="3"/>
      <charset val="129"/>
    </font>
    <font>
      <sz val="13"/>
      <name val=".VnTime"/>
      <family val="2"/>
    </font>
    <font>
      <sz val="10"/>
      <name val="Times New Roman"/>
      <family val="1"/>
    </font>
    <font>
      <sz val="12"/>
      <name val="宋体"/>
      <charset val="134"/>
    </font>
    <font>
      <b/>
      <sz val="12"/>
      <name val=".VnTime"/>
      <family val="2"/>
    </font>
    <font>
      <sz val="12"/>
      <color indexed="10"/>
      <name val=".VnTime"/>
      <family val="2"/>
    </font>
    <font>
      <b/>
      <sz val="12"/>
      <color indexed="10"/>
      <name val=".VnTime"/>
      <family val="2"/>
    </font>
    <font>
      <sz val="10"/>
      <name val=".VnTime"/>
      <family val="2"/>
    </font>
    <font>
      <sz val="12"/>
      <name val="????"/>
      <charset val="136"/>
    </font>
    <font>
      <sz val="11"/>
      <name val="–¾’©"/>
      <family val="1"/>
      <charset val="128"/>
    </font>
    <font>
      <sz val="8"/>
      <name val="Arial"/>
      <family val="2"/>
    </font>
    <font>
      <b/>
      <i/>
      <sz val="12"/>
      <color indexed="10"/>
      <name val=".VnTime"/>
      <family val="2"/>
    </font>
    <font>
      <sz val="12"/>
      <name val="Vni-times"/>
    </font>
    <font>
      <sz val="12"/>
      <name val="VNtimes new roman"/>
      <family val="2"/>
    </font>
    <font>
      <sz val="10"/>
      <name val="?? ??"/>
      <family val="1"/>
      <charset val="136"/>
    </font>
    <font>
      <sz val="10"/>
      <name val=".VnArial"/>
      <family val="2"/>
    </font>
    <font>
      <sz val="10"/>
      <name val=".VnTime"/>
      <family val="2"/>
    </font>
    <font>
      <sz val="10"/>
      <name val="VnTimes"/>
      <family val="2"/>
    </font>
    <font>
      <sz val="8"/>
      <name val="Times New Roman"/>
      <family val="1"/>
    </font>
    <font>
      <sz val="12"/>
      <name val="Tms Rmn"/>
    </font>
    <font>
      <sz val="10"/>
      <name val="Helv"/>
      <family val="2"/>
    </font>
    <font>
      <b/>
      <sz val="10"/>
      <name val="Helv"/>
      <family val="2"/>
    </font>
    <font>
      <sz val="10"/>
      <name val="VNI-Aptima"/>
    </font>
    <font>
      <sz val="11"/>
      <name val="Tms Rmn"/>
    </font>
    <font>
      <sz val="11"/>
      <name val="VNI-Times"/>
    </font>
    <font>
      <sz val="10"/>
      <name val="MS Serif"/>
      <family val="1"/>
    </font>
    <font>
      <sz val="10"/>
      <color indexed="8"/>
      <name val="Arial"/>
      <family val="2"/>
    </font>
    <font>
      <sz val="10"/>
      <color indexed="16"/>
      <name val="MS Serif"/>
      <family val="1"/>
    </font>
    <font>
      <sz val="18"/>
      <color indexed="24"/>
      <name val="Times New Roman"/>
      <family val="1"/>
    </font>
    <font>
      <sz val="8"/>
      <color indexed="24"/>
      <name val="Times New Roman"/>
      <family val="1"/>
    </font>
    <font>
      <i/>
      <sz val="12"/>
      <color indexed="24"/>
      <name val="Times New Roman"/>
      <family val="1"/>
    </font>
    <font>
      <sz val="12"/>
      <color indexed="24"/>
      <name val="Arial"/>
      <family val="2"/>
    </font>
    <font>
      <sz val="12"/>
      <color indexed="24"/>
      <name val="Times New Roman"/>
      <family val="1"/>
    </font>
    <font>
      <sz val="8"/>
      <color indexed="24"/>
      <name val="Arial"/>
      <family val="2"/>
    </font>
    <font>
      <i/>
      <sz val="12"/>
      <color indexed="24"/>
      <name val="Arial"/>
      <family val="2"/>
    </font>
    <font>
      <b/>
      <sz val="12"/>
      <name val=".VnBook-AntiquaH"/>
      <family val="2"/>
    </font>
    <font>
      <b/>
      <sz val="12"/>
      <color indexed="9"/>
      <name val="Tms Rmn"/>
    </font>
    <font>
      <b/>
      <sz val="12"/>
      <name val="Helv"/>
      <family val="2"/>
    </font>
    <font>
      <b/>
      <sz val="8"/>
      <name val="MS Sans Serif"/>
      <family val="2"/>
    </font>
    <font>
      <b/>
      <sz val="10"/>
      <name val=".VnTime"/>
      <family val="2"/>
    </font>
    <font>
      <sz val="8"/>
      <color indexed="12"/>
      <name val="Helv"/>
      <family val="2"/>
    </font>
    <font>
      <b/>
      <sz val="12"/>
      <color indexed="12"/>
      <name val=".VnTime"/>
      <family val="2"/>
    </font>
    <font>
      <sz val="10"/>
      <name val="MS Sans Serif"/>
      <family val="2"/>
    </font>
    <font>
      <sz val="10"/>
      <name val="MS Sans Serif"/>
      <family val="2"/>
    </font>
    <font>
      <b/>
      <sz val="11"/>
      <name val="Helv"/>
      <family val="2"/>
    </font>
    <font>
      <sz val="7"/>
      <name val="Small Fonts"/>
      <family val="2"/>
    </font>
    <font>
      <b/>
      <sz val="12"/>
      <name val="VN-NTime"/>
      <family val="2"/>
    </font>
    <font>
      <sz val="12"/>
      <name val="바탕체"/>
      <family val="3"/>
      <charset val="129"/>
    </font>
    <font>
      <sz val="14"/>
      <name val="System"/>
      <family val="2"/>
    </font>
    <font>
      <b/>
      <sz val="11"/>
      <name val="Arial"/>
      <family val="2"/>
    </font>
    <font>
      <sz val="12"/>
      <color indexed="8"/>
      <name val="Times New Roman"/>
      <family val="1"/>
    </font>
    <font>
      <sz val="12"/>
      <name val="Helv"/>
      <family val="2"/>
    </font>
    <font>
      <b/>
      <sz val="10"/>
      <name val="MS Sans Serif"/>
      <family val="2"/>
    </font>
    <font>
      <sz val="8"/>
      <name val="Wingdings"/>
      <charset val="2"/>
    </font>
    <font>
      <sz val="8"/>
      <name val="Helv"/>
    </font>
    <font>
      <sz val="8"/>
      <name val="MS Sans Serif"/>
      <family val="2"/>
    </font>
    <font>
      <b/>
      <sz val="8"/>
      <color indexed="8"/>
      <name val="Helv"/>
    </font>
    <font>
      <sz val="12"/>
      <name val="VNTime"/>
    </font>
    <font>
      <sz val="12"/>
      <name val="VNTime"/>
      <family val="2"/>
    </font>
    <font>
      <sz val="14"/>
      <name val=".Vn3DH"/>
      <family val="2"/>
    </font>
    <font>
      <sz val="10"/>
      <name val="VNtimes new roman"/>
      <family val="2"/>
    </font>
    <font>
      <b/>
      <sz val="8"/>
      <name val="VN Helvetica"/>
      <family val="2"/>
    </font>
    <font>
      <b/>
      <sz val="10"/>
      <name val="VN AvantGBook"/>
      <family val="2"/>
    </font>
    <font>
      <b/>
      <sz val="16"/>
      <name val=".VnTime"/>
      <family val="2"/>
    </font>
    <font>
      <sz val="9"/>
      <name val=".VnTime"/>
      <family val="2"/>
    </font>
    <font>
      <sz val="16"/>
      <name val="AngsanaUPC"/>
      <family val="3"/>
    </font>
    <font>
      <sz val="10"/>
      <name val="Courier"/>
      <family val="3"/>
    </font>
    <font>
      <b/>
      <i/>
      <sz val="10"/>
      <name val=".VnTime"/>
      <family val="2"/>
    </font>
    <font>
      <i/>
      <sz val="10"/>
      <name val=".VnTime"/>
      <family val="2"/>
    </font>
    <font>
      <sz val="12"/>
      <name val=".VnTime"/>
      <family val="2"/>
    </font>
    <font>
      <sz val="8"/>
      <color indexed="81"/>
      <name val="Tahoma"/>
      <family val="2"/>
    </font>
    <font>
      <b/>
      <sz val="8"/>
      <color indexed="81"/>
      <name val="Tahoma"/>
      <family val="2"/>
    </font>
    <font>
      <b/>
      <sz val="11.5"/>
      <name val=".VnTimeH"/>
      <family val="2"/>
    </font>
    <font>
      <sz val="11.5"/>
      <name val=".VnTime"/>
      <family val="2"/>
    </font>
    <font>
      <b/>
      <sz val="11.5"/>
      <name val=".VnTime"/>
      <family val="2"/>
    </font>
    <font>
      <sz val="11.5"/>
      <name val=".VnTime"/>
      <family val="2"/>
    </font>
    <font>
      <i/>
      <sz val="11.5"/>
      <name val=".VnTime"/>
      <family val="2"/>
    </font>
    <font>
      <b/>
      <i/>
      <sz val="11.5"/>
      <name val=".VnTime"/>
      <family val="2"/>
    </font>
    <font>
      <b/>
      <sz val="11.5"/>
      <name val=".VnTime"/>
      <family val="2"/>
    </font>
    <font>
      <b/>
      <sz val="11.5"/>
      <color indexed="10"/>
      <name val=".VnTime"/>
      <family val="2"/>
    </font>
    <font>
      <sz val="11.5"/>
      <name val=".VnTimeH"/>
      <family val="2"/>
    </font>
    <font>
      <b/>
      <sz val="7"/>
      <name val="Times New Roman"/>
      <family val="1"/>
    </font>
    <font>
      <b/>
      <sz val="7"/>
      <name val=".VnTime"/>
      <family val="2"/>
    </font>
    <font>
      <sz val="8"/>
      <name val=".VnTime"/>
      <family val="2"/>
    </font>
    <font>
      <b/>
      <i/>
      <sz val="11.5"/>
      <color indexed="10"/>
      <name val=".VnTime"/>
      <family val="2"/>
    </font>
    <font>
      <sz val="11.5"/>
      <color indexed="10"/>
      <name val=".VnTime"/>
      <family val="2"/>
    </font>
    <font>
      <sz val="11"/>
      <name val="??"/>
      <family val="3"/>
      <charset val="129"/>
    </font>
    <font>
      <sz val="10"/>
      <name val="AngsanaUPC"/>
      <family val="1"/>
    </font>
    <font>
      <sz val="14"/>
      <name val="VnTime"/>
    </font>
    <font>
      <sz val="12"/>
      <name val="¹ÙÅÁÃ¼"/>
      <charset val="129"/>
    </font>
    <font>
      <sz val="11"/>
      <name val="µ¸¿ò"/>
      <charset val="129"/>
    </font>
    <font>
      <sz val="12"/>
      <name val="¹ÙÅÁÃ¼"/>
      <family val="1"/>
      <charset val="129"/>
    </font>
    <font>
      <sz val="10"/>
      <name val="±¼¸²A¼"/>
      <family val="3"/>
      <charset val="129"/>
    </font>
    <font>
      <sz val="11"/>
      <name val="µ¸¿ò"/>
      <family val="3"/>
      <charset val="129"/>
    </font>
    <font>
      <sz val="11"/>
      <name val="3C_Times_T"/>
    </font>
    <font>
      <sz val="11"/>
      <color indexed="32"/>
      <name val="VNI-Times"/>
    </font>
    <font>
      <sz val="14"/>
      <name val=".VnTime"/>
      <family val="2"/>
    </font>
    <font>
      <sz val="14"/>
      <name val="VnTime"/>
      <family val="2"/>
    </font>
    <font>
      <sz val="11"/>
      <name val=".VnTimeH"/>
      <family val="2"/>
    </font>
    <font>
      <b/>
      <sz val="12"/>
      <name val=".VnTimeH"/>
      <family val="2"/>
    </font>
    <font>
      <i/>
      <sz val="13"/>
      <name val=".VnTime"/>
      <family val="2"/>
    </font>
    <font>
      <i/>
      <u/>
      <sz val="11"/>
      <name val=".VnTime"/>
      <family val="2"/>
    </font>
    <font>
      <sz val="11.5"/>
      <color indexed="10"/>
      <name val=".VnTime"/>
      <family val="2"/>
    </font>
    <font>
      <b/>
      <u/>
      <sz val="12"/>
      <name val=".VnTimeH"/>
      <family val="2"/>
    </font>
    <font>
      <b/>
      <sz val="10.5"/>
      <name val=".VnTime"/>
      <family val="2"/>
    </font>
    <font>
      <sz val="10.5"/>
      <name val=".VnTime"/>
      <family val="2"/>
    </font>
    <font>
      <i/>
      <sz val="10.5"/>
      <name val=".VnTime"/>
      <family val="2"/>
    </font>
    <font>
      <b/>
      <i/>
      <sz val="10.5"/>
      <name val=".VnTime"/>
      <family val="2"/>
    </font>
    <font>
      <sz val="11"/>
      <name val="Times New Roman"/>
      <family val="1"/>
    </font>
    <font>
      <sz val="11"/>
      <name val="Arial"/>
      <family val="2"/>
    </font>
    <font>
      <i/>
      <sz val="11.5"/>
      <color indexed="10"/>
      <name val=".VnTime"/>
      <family val="2"/>
    </font>
    <font>
      <sz val="11"/>
      <color indexed="10"/>
      <name val=".VnTime"/>
      <family val="2"/>
    </font>
    <font>
      <sz val="10.5"/>
      <color indexed="10"/>
      <name val=".VnTime"/>
      <family val="2"/>
    </font>
    <font>
      <b/>
      <sz val="10.5"/>
      <color indexed="10"/>
      <name val=".VnTime"/>
      <family val="2"/>
    </font>
    <font>
      <sz val="12"/>
      <name val=".VnTime"/>
      <family val="2"/>
    </font>
    <font>
      <b/>
      <sz val="12"/>
      <name val="Times New Roman"/>
      <family val="1"/>
    </font>
    <font>
      <b/>
      <i/>
      <u/>
      <sz val="12"/>
      <name val=".VnTime"/>
      <family val="2"/>
    </font>
    <font>
      <sz val="12"/>
      <color indexed="10"/>
      <name val=".VnTime"/>
      <family val="2"/>
    </font>
    <font>
      <sz val="12"/>
      <name val="Symbol"/>
      <family val="1"/>
      <charset val="2"/>
    </font>
    <font>
      <i/>
      <sz val="12"/>
      <name val="Times New Roman"/>
      <family val="1"/>
    </font>
    <font>
      <sz val="12"/>
      <name val=".VnTime"/>
      <family val="2"/>
    </font>
    <font>
      <b/>
      <u/>
      <sz val="12"/>
      <name val=".VnTime"/>
      <family val="2"/>
    </font>
    <font>
      <sz val="12"/>
      <color indexed="10"/>
      <name val="Times New Roman"/>
      <family val="1"/>
    </font>
    <font>
      <b/>
      <sz val="9"/>
      <name val=".VnTimeH"/>
      <family val="2"/>
    </font>
    <font>
      <sz val="11.5"/>
      <name val="Times New Roman"/>
      <family val="1"/>
    </font>
    <font>
      <b/>
      <sz val="16"/>
      <name val=".VnTimeH"/>
      <family val="2"/>
    </font>
    <font>
      <i/>
      <sz val="11.5"/>
      <name val=".VnTimeH"/>
      <family val="2"/>
    </font>
    <font>
      <sz val="8"/>
      <color indexed="81"/>
      <name val=".VnTime"/>
      <family val="2"/>
    </font>
    <font>
      <b/>
      <i/>
      <u/>
      <sz val="11"/>
      <name val=".VnTime"/>
      <family val="2"/>
    </font>
    <font>
      <sz val="10.1"/>
      <color indexed="8"/>
      <name val=".VnTime"/>
      <family val="2"/>
    </font>
    <font>
      <sz val="10"/>
      <color indexed="8"/>
      <name val=".VnTime"/>
      <family val="2"/>
    </font>
    <font>
      <b/>
      <sz val="12"/>
      <color indexed="10"/>
      <name val=".VnTime"/>
      <family val="2"/>
    </font>
    <font>
      <sz val="10"/>
      <color indexed="63"/>
      <name val="Arial"/>
      <family val="2"/>
    </font>
    <font>
      <sz val="8"/>
      <name val=".VnTime"/>
    </font>
  </fonts>
  <fills count="25">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40"/>
        <bgColor indexed="64"/>
      </patternFill>
    </fill>
    <fill>
      <patternFill patternType="solid">
        <fgColor indexed="26"/>
        <bgColor indexed="64"/>
      </patternFill>
    </fill>
    <fill>
      <patternFill patternType="solid">
        <fgColor indexed="9"/>
        <bgColor indexed="64"/>
      </patternFill>
    </fill>
    <fill>
      <patternFill patternType="darkVertical"/>
    </fill>
    <fill>
      <patternFill patternType="solid">
        <fgColor indexed="58"/>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indexed="15"/>
        <bgColor indexed="64"/>
      </patternFill>
    </fill>
    <fill>
      <patternFill patternType="solid">
        <fgColor indexed="42"/>
        <bgColor indexed="64"/>
      </patternFill>
    </fill>
    <fill>
      <patternFill patternType="solid">
        <fgColor indexed="41"/>
        <bgColor indexed="64"/>
      </patternFill>
    </fill>
    <fill>
      <patternFill patternType="solid">
        <fgColor indexed="10"/>
        <bgColor indexed="64"/>
      </patternFill>
    </fill>
    <fill>
      <patternFill patternType="solid">
        <fgColor indexed="13"/>
        <bgColor indexed="64"/>
      </patternFill>
    </fill>
    <fill>
      <patternFill patternType="solid">
        <fgColor indexed="14"/>
        <bgColor indexed="64"/>
      </patternFill>
    </fill>
    <fill>
      <patternFill patternType="solid">
        <fgColor indexed="44"/>
        <bgColor indexed="64"/>
      </patternFill>
    </fill>
    <fill>
      <patternFill patternType="solid">
        <fgColor indexed="46"/>
        <bgColor indexed="64"/>
      </patternFill>
    </fill>
    <fill>
      <patternFill patternType="solid">
        <fgColor indexed="47"/>
        <bgColor indexed="64"/>
      </patternFill>
    </fill>
    <fill>
      <patternFill patternType="solid">
        <fgColor indexed="55"/>
        <bgColor indexed="64"/>
      </patternFill>
    </fill>
    <fill>
      <patternFill patternType="solid">
        <fgColor indexed="12"/>
        <bgColor indexed="64"/>
      </patternFill>
    </fill>
    <fill>
      <patternFill patternType="solid">
        <fgColor indexed="11"/>
        <bgColor indexed="64"/>
      </patternFill>
    </fill>
  </fills>
  <borders count="56">
    <border>
      <left/>
      <right/>
      <top/>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medium">
        <color indexed="0"/>
      </right>
      <top/>
      <bottom/>
      <diagonal/>
    </border>
    <border>
      <left style="thin">
        <color indexed="64"/>
      </left>
      <right style="thin">
        <color indexed="64"/>
      </right>
      <top/>
      <bottom style="hair">
        <color indexed="64"/>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medium">
        <color indexed="64"/>
      </top>
      <bottom style="double">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bottom/>
      <diagonal/>
    </border>
    <border>
      <left style="thin">
        <color indexed="64"/>
      </left>
      <right style="medium">
        <color indexed="64"/>
      </right>
      <top style="hair">
        <color indexed="64"/>
      </top>
      <bottom style="hair">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bottom style="hair">
        <color indexed="64"/>
      </bottom>
      <diagonal/>
    </border>
    <border>
      <left style="double">
        <color indexed="64"/>
      </left>
      <right style="thin">
        <color indexed="64"/>
      </right>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s>
  <cellStyleXfs count="305">
    <xf numFmtId="0" fontId="0" fillId="0" borderId="0"/>
    <xf numFmtId="0" fontId="1" fillId="0" borderId="0" applyNumberFormat="0" applyFill="0" applyBorder="0" applyAlignment="0" applyProtection="0"/>
    <xf numFmtId="164" fontId="60" fillId="0" borderId="1" applyFont="0" applyBorder="0"/>
    <xf numFmtId="186" fontId="7" fillId="0" borderId="0" applyFont="0" applyFill="0" applyBorder="0" applyAlignment="0" applyProtection="0"/>
    <xf numFmtId="0" fontId="61" fillId="0" borderId="0" applyFont="0" applyFill="0" applyBorder="0" applyAlignment="0" applyProtection="0"/>
    <xf numFmtId="185" fontId="7" fillId="0" borderId="0" applyFont="0" applyFill="0" applyBorder="0" applyAlignment="0" applyProtection="0"/>
    <xf numFmtId="177" fontId="62" fillId="0" borderId="0" applyFont="0" applyFill="0" applyBorder="0" applyAlignment="0" applyProtection="0"/>
    <xf numFmtId="176" fontId="62" fillId="0" borderId="0" applyFont="0" applyFill="0" applyBorder="0" applyAlignment="0" applyProtection="0"/>
    <xf numFmtId="167" fontId="55" fillId="0" borderId="0" applyFont="0" applyFill="0" applyBorder="0" applyAlignment="0" applyProtection="0"/>
    <xf numFmtId="9" fontId="133" fillId="0" borderId="0" applyFont="0" applyFill="0" applyBorder="0" applyAlignment="0" applyProtection="0"/>
    <xf numFmtId="212" fontId="23" fillId="0" borderId="0" applyFont="0" applyFill="0" applyBorder="0" applyAlignment="0" applyProtection="0"/>
    <xf numFmtId="0" fontId="134" fillId="0" borderId="0" applyFont="0" applyFill="0" applyBorder="0" applyAlignment="0" applyProtection="0"/>
    <xf numFmtId="0" fontId="7" fillId="0" borderId="0"/>
    <xf numFmtId="0" fontId="89" fillId="0" borderId="0" applyFon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6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63" fillId="0" borderId="0" applyNumberFormat="0" applyFill="0" applyBorder="0" applyAlignment="0" applyProtection="0"/>
    <xf numFmtId="0" fontId="54" fillId="0" borderId="0" applyNumberFormat="0" applyFill="0" applyBorder="0" applyAlignment="0" applyProtection="0"/>
    <xf numFmtId="0" fontId="56" fillId="0" borderId="0"/>
    <xf numFmtId="0" fontId="56" fillId="0" borderId="0"/>
    <xf numFmtId="0" fontId="56" fillId="0" borderId="0"/>
    <xf numFmtId="1" fontId="135" fillId="0" borderId="2" applyBorder="0" applyAlignment="0">
      <alignment horizontal="center"/>
    </xf>
    <xf numFmtId="0" fontId="59" fillId="0" borderId="0" applyFont="0" applyFill="0" applyBorder="0" applyAlignment="0"/>
    <xf numFmtId="0" fontId="40" fillId="2" borderId="0"/>
    <xf numFmtId="0" fontId="64" fillId="0" borderId="0"/>
    <xf numFmtId="0" fontId="41" fillId="2" borderId="0"/>
    <xf numFmtId="0" fontId="42" fillId="2" borderId="0"/>
    <xf numFmtId="0" fontId="43" fillId="0" borderId="0">
      <alignment wrapText="1"/>
    </xf>
    <xf numFmtId="164" fontId="27" fillId="0" borderId="3" applyNumberFormat="0" applyFont="0" applyBorder="0" applyAlignment="0">
      <alignment horizontal="center" vertical="center"/>
    </xf>
    <xf numFmtId="0" fontId="54" fillId="0" borderId="0"/>
    <xf numFmtId="178" fontId="44" fillId="0" borderId="0" applyFont="0" applyFill="0" applyBorder="0" applyAlignment="0" applyProtection="0"/>
    <xf numFmtId="0" fontId="45" fillId="0" borderId="0" applyFont="0" applyFill="0" applyBorder="0" applyAlignment="0" applyProtection="0"/>
    <xf numFmtId="178" fontId="46" fillId="0" borderId="0" applyFont="0" applyFill="0" applyBorder="0" applyAlignment="0" applyProtection="0"/>
    <xf numFmtId="179" fontId="44" fillId="0" borderId="0" applyFont="0" applyFill="0" applyBorder="0" applyAlignment="0" applyProtection="0"/>
    <xf numFmtId="0" fontId="45" fillId="0" borderId="0" applyFont="0" applyFill="0" applyBorder="0" applyAlignment="0" applyProtection="0"/>
    <xf numFmtId="179" fontId="46" fillId="0" borderId="0" applyFont="0" applyFill="0" applyBorder="0" applyAlignment="0" applyProtection="0"/>
    <xf numFmtId="0" fontId="65" fillId="0" borderId="0">
      <alignment horizontal="center" wrapText="1"/>
      <protection locked="0"/>
    </xf>
    <xf numFmtId="176" fontId="44" fillId="0" borderId="0" applyFont="0" applyFill="0" applyBorder="0" applyAlignment="0" applyProtection="0"/>
    <xf numFmtId="0" fontId="45" fillId="0" borderId="0" applyFont="0" applyFill="0" applyBorder="0" applyAlignment="0" applyProtection="0"/>
    <xf numFmtId="176" fontId="136" fillId="0" borderId="0" applyFont="0" applyFill="0" applyBorder="0" applyAlignment="0" applyProtection="0"/>
    <xf numFmtId="177" fontId="44" fillId="0" borderId="0" applyFont="0" applyFill="0" applyBorder="0" applyAlignment="0" applyProtection="0"/>
    <xf numFmtId="0" fontId="45" fillId="0" borderId="0" applyFont="0" applyFill="0" applyBorder="0" applyAlignment="0" applyProtection="0"/>
    <xf numFmtId="177" fontId="136" fillId="0" borderId="0" applyFont="0" applyFill="0" applyBorder="0" applyAlignment="0" applyProtection="0"/>
    <xf numFmtId="0" fontId="66" fillId="0" borderId="0" applyNumberFormat="0" applyFill="0" applyBorder="0" applyAlignment="0" applyProtection="0"/>
    <xf numFmtId="0" fontId="45" fillId="0" borderId="0"/>
    <xf numFmtId="0" fontId="137" fillId="0" borderId="0"/>
    <xf numFmtId="0" fontId="45" fillId="0" borderId="0"/>
    <xf numFmtId="0" fontId="138" fillId="0" borderId="0"/>
    <xf numFmtId="0" fontId="45" fillId="0" borderId="0"/>
    <xf numFmtId="0" fontId="47" fillId="0" borderId="0"/>
    <xf numFmtId="0" fontId="45" fillId="0" borderId="0"/>
    <xf numFmtId="0" fontId="44" fillId="0" borderId="0"/>
    <xf numFmtId="0" fontId="45" fillId="0" borderId="0"/>
    <xf numFmtId="0" fontId="44" fillId="0" borderId="0"/>
    <xf numFmtId="0" fontId="139" fillId="0" borderId="0"/>
    <xf numFmtId="0" fontId="44" fillId="0" borderId="0"/>
    <xf numFmtId="0" fontId="139" fillId="0" borderId="0"/>
    <xf numFmtId="0" fontId="47" fillId="0" borderId="0"/>
    <xf numFmtId="0" fontId="139" fillId="0" borderId="0"/>
    <xf numFmtId="0" fontId="140" fillId="0" borderId="0"/>
    <xf numFmtId="187" fontId="1" fillId="0" borderId="0" applyFill="0" applyBorder="0" applyAlignment="0"/>
    <xf numFmtId="189" fontId="67" fillId="0" borderId="0" applyFill="0" applyBorder="0" applyAlignment="0"/>
    <xf numFmtId="184" fontId="67" fillId="0" borderId="0" applyFill="0" applyBorder="0" applyAlignment="0"/>
    <xf numFmtId="193" fontId="67" fillId="0" borderId="0" applyFill="0" applyBorder="0" applyAlignment="0"/>
    <xf numFmtId="194" fontId="7" fillId="0" borderId="0" applyFill="0" applyBorder="0" applyAlignment="0"/>
    <xf numFmtId="190" fontId="67" fillId="0" borderId="0" applyFill="0" applyBorder="0" applyAlignment="0"/>
    <xf numFmtId="195" fontId="67" fillId="0" borderId="0" applyFill="0" applyBorder="0" applyAlignment="0"/>
    <xf numFmtId="189" fontId="67" fillId="0" borderId="0" applyFill="0" applyBorder="0" applyAlignment="0"/>
    <xf numFmtId="0" fontId="68" fillId="0" borderId="0"/>
    <xf numFmtId="1" fontId="69" fillId="0" borderId="4" applyBorder="0"/>
    <xf numFmtId="43" fontId="1" fillId="0" borderId="0" applyFont="0" applyFill="0" applyBorder="0" applyAlignment="0" applyProtection="0"/>
    <xf numFmtId="191" fontId="70" fillId="0" borderId="0"/>
    <xf numFmtId="191" fontId="70" fillId="0" borderId="0"/>
    <xf numFmtId="191" fontId="70" fillId="0" borderId="0"/>
    <xf numFmtId="191" fontId="70" fillId="0" borderId="0"/>
    <xf numFmtId="191" fontId="70" fillId="0" borderId="0"/>
    <xf numFmtId="191" fontId="70" fillId="0" borderId="0"/>
    <xf numFmtId="191" fontId="70" fillId="0" borderId="0"/>
    <xf numFmtId="191" fontId="70" fillId="0" borderId="0"/>
    <xf numFmtId="0" fontId="71" fillId="0" borderId="2"/>
    <xf numFmtId="41" fontId="1" fillId="0" borderId="0" applyFont="0" applyFill="0" applyBorder="0" applyAlignment="0" applyProtection="0"/>
    <xf numFmtId="190" fontId="67" fillId="0" borderId="0" applyFont="0" applyFill="0" applyBorder="0" applyAlignment="0" applyProtection="0"/>
    <xf numFmtId="196" fontId="49" fillId="0" borderId="0"/>
    <xf numFmtId="165" fontId="1"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7" fillId="0" borderId="0" applyFont="0" applyFill="0" applyBorder="0" applyAlignment="0" applyProtection="0"/>
    <xf numFmtId="0" fontId="72" fillId="0" borderId="0" applyNumberFormat="0" applyAlignment="0">
      <alignment horizontal="left"/>
    </xf>
    <xf numFmtId="215" fontId="48" fillId="0" borderId="0" applyFont="0" applyFill="0" applyBorder="0" applyAlignment="0" applyProtection="0"/>
    <xf numFmtId="189" fontId="67" fillId="0" borderId="0" applyFont="0" applyFill="0" applyBorder="0" applyAlignment="0" applyProtection="0"/>
    <xf numFmtId="169" fontId="1" fillId="0" borderId="0" applyFont="0" applyFill="0" applyBorder="0" applyAlignment="0" applyProtection="0"/>
    <xf numFmtId="197" fontId="7" fillId="0" borderId="0"/>
    <xf numFmtId="0" fontId="7" fillId="0" borderId="0" applyFont="0" applyFill="0" applyBorder="0" applyAlignment="0" applyProtection="0"/>
    <xf numFmtId="14" fontId="73" fillId="0" borderId="0" applyFill="0" applyBorder="0" applyAlignment="0"/>
    <xf numFmtId="0" fontId="13" fillId="0" borderId="0" applyProtection="0"/>
    <xf numFmtId="198" fontId="7" fillId="0" borderId="5">
      <alignment vertical="center"/>
    </xf>
    <xf numFmtId="199" fontId="7" fillId="0" borderId="0" applyFont="0" applyFill="0" applyBorder="0" applyAlignment="0" applyProtection="0"/>
    <xf numFmtId="200" fontId="7" fillId="0" borderId="0" applyFont="0" applyFill="0" applyBorder="0" applyAlignment="0" applyProtection="0"/>
    <xf numFmtId="201" fontId="7" fillId="0" borderId="0"/>
    <xf numFmtId="3" fontId="30" fillId="0" borderId="0" applyFont="0" applyBorder="0" applyAlignment="0"/>
    <xf numFmtId="190" fontId="67" fillId="0" borderId="0" applyFill="0" applyBorder="0" applyAlignment="0"/>
    <xf numFmtId="189" fontId="67" fillId="0" borderId="0" applyFill="0" applyBorder="0" applyAlignment="0"/>
    <xf numFmtId="190" fontId="67" fillId="0" borderId="0" applyFill="0" applyBorder="0" applyAlignment="0"/>
    <xf numFmtId="195" fontId="67" fillId="0" borderId="0" applyFill="0" applyBorder="0" applyAlignment="0"/>
    <xf numFmtId="189" fontId="67" fillId="0" borderId="0" applyFill="0" applyBorder="0" applyAlignment="0"/>
    <xf numFmtId="0" fontId="74" fillId="0" borderId="0" applyNumberFormat="0" applyAlignment="0">
      <alignment horizontal="left"/>
    </xf>
    <xf numFmtId="202" fontId="7" fillId="0" borderId="0" applyFont="0" applyFill="0" applyBorder="0" applyAlignment="0" applyProtection="0"/>
    <xf numFmtId="3" fontId="30" fillId="0" borderId="0" applyFont="0" applyBorder="0" applyAlignment="0"/>
    <xf numFmtId="0" fontId="75" fillId="0" borderId="0" applyProtection="0"/>
    <xf numFmtId="0" fontId="76" fillId="0" borderId="0" applyProtection="0"/>
    <xf numFmtId="0" fontId="77" fillId="0" borderId="0" applyProtection="0"/>
    <xf numFmtId="0" fontId="78" fillId="0" borderId="0" applyProtection="0"/>
    <xf numFmtId="0" fontId="79" fillId="0" borderId="0" applyNumberFormat="0" applyFont="0" applyFill="0" applyBorder="0" applyAlignment="0" applyProtection="0"/>
    <xf numFmtId="0" fontId="80" fillId="0" borderId="0" applyProtection="0"/>
    <xf numFmtId="0" fontId="81" fillId="0" borderId="0" applyProtection="0"/>
    <xf numFmtId="2" fontId="7" fillId="0" borderId="0" applyFont="0" applyFill="0" applyBorder="0" applyAlignment="0" applyProtection="0"/>
    <xf numFmtId="38" fontId="57" fillId="2" borderId="0" applyNumberFormat="0" applyBorder="0" applyAlignment="0" applyProtection="0"/>
    <xf numFmtId="0" fontId="82" fillId="0" borderId="0" applyNumberFormat="0" applyFont="0" applyBorder="0" applyAlignment="0">
      <alignment horizontal="left" vertical="center"/>
    </xf>
    <xf numFmtId="0" fontId="83" fillId="3" borderId="0"/>
    <xf numFmtId="0" fontId="84" fillId="0" borderId="0">
      <alignment horizontal="left"/>
    </xf>
    <xf numFmtId="0" fontId="9" fillId="0" borderId="6" applyNumberFormat="0" applyAlignment="0" applyProtection="0">
      <alignment horizontal="left" vertical="center"/>
    </xf>
    <xf numFmtId="0" fontId="9" fillId="0" borderId="7">
      <alignment horizontal="left" vertical="center"/>
    </xf>
    <xf numFmtId="0" fontId="10" fillId="0" borderId="0" applyNumberFormat="0" applyFill="0" applyBorder="0" applyAlignment="0" applyProtection="0"/>
    <xf numFmtId="0" fontId="9" fillId="0" borderId="0" applyNumberFormat="0" applyFill="0" applyBorder="0" applyAlignment="0" applyProtection="0"/>
    <xf numFmtId="0" fontId="10" fillId="0" borderId="0" applyProtection="0"/>
    <xf numFmtId="0" fontId="9" fillId="0" borderId="0" applyProtection="0"/>
    <xf numFmtId="0" fontId="85" fillId="0" borderId="8">
      <alignment horizontal="center"/>
    </xf>
    <xf numFmtId="0" fontId="85" fillId="0" borderId="0">
      <alignment horizontal="center"/>
    </xf>
    <xf numFmtId="5" fontId="86" fillId="4" borderId="2" applyNumberFormat="0" applyAlignment="0">
      <alignment horizontal="left" vertical="top"/>
    </xf>
    <xf numFmtId="49" fontId="33" fillId="0" borderId="2">
      <alignment vertical="center"/>
    </xf>
    <xf numFmtId="0" fontId="11" fillId="0" borderId="0" applyNumberFormat="0" applyFill="0" applyBorder="0" applyAlignment="0" applyProtection="0">
      <alignment vertical="top"/>
      <protection locked="0"/>
    </xf>
    <xf numFmtId="0" fontId="87" fillId="0" borderId="0"/>
    <xf numFmtId="10" fontId="57" fillId="5" borderId="2" applyNumberFormat="0" applyBorder="0" applyAlignment="0" applyProtection="0"/>
    <xf numFmtId="14" fontId="88" fillId="0" borderId="3" applyFont="0" applyBorder="0" applyAlignment="0">
      <alignment horizontal="center"/>
    </xf>
    <xf numFmtId="0" fontId="89" fillId="0" borderId="0"/>
    <xf numFmtId="0" fontId="89" fillId="0" borderId="0"/>
    <xf numFmtId="190" fontId="67" fillId="0" borderId="0" applyFill="0" applyBorder="0" applyAlignment="0"/>
    <xf numFmtId="189" fontId="67" fillId="0" borderId="0" applyFill="0" applyBorder="0" applyAlignment="0"/>
    <xf numFmtId="190" fontId="67" fillId="0" borderId="0" applyFill="0" applyBorder="0" applyAlignment="0"/>
    <xf numFmtId="195" fontId="67" fillId="0" borderId="0" applyFill="0" applyBorder="0" applyAlignment="0"/>
    <xf numFmtId="189" fontId="67" fillId="0" borderId="0" applyFill="0" applyBorder="0" applyAlignment="0"/>
    <xf numFmtId="38" fontId="90" fillId="0" borderId="0" applyFont="0" applyFill="0" applyBorder="0" applyAlignment="0" applyProtection="0"/>
    <xf numFmtId="40" fontId="90" fillId="0" borderId="0" applyFont="0" applyFill="0" applyBorder="0" applyAlignment="0" applyProtection="0"/>
    <xf numFmtId="0" fontId="91" fillId="0" borderId="8"/>
    <xf numFmtId="173" fontId="12" fillId="0" borderId="9"/>
    <xf numFmtId="203" fontId="90" fillId="0" borderId="0" applyFont="0" applyFill="0" applyBorder="0" applyAlignment="0" applyProtection="0"/>
    <xf numFmtId="204" fontId="90" fillId="0" borderId="0" applyFont="0" applyFill="0" applyBorder="0" applyAlignment="0" applyProtection="0"/>
    <xf numFmtId="192" fontId="7" fillId="0" borderId="0" applyFont="0" applyFill="0" applyBorder="0" applyAlignment="0" applyProtection="0"/>
    <xf numFmtId="205" fontId="7" fillId="0" borderId="0" applyFont="0" applyFill="0" applyBorder="0" applyAlignment="0" applyProtection="0"/>
    <xf numFmtId="0" fontId="13" fillId="0" borderId="0" applyNumberFormat="0" applyFont="0" applyFill="0" applyAlignment="0"/>
    <xf numFmtId="0" fontId="32" fillId="0" borderId="2"/>
    <xf numFmtId="0" fontId="49" fillId="0" borderId="0"/>
    <xf numFmtId="37" fontId="92" fillId="0" borderId="0"/>
    <xf numFmtId="0" fontId="93" fillId="0" borderId="2" applyNumberFormat="0" applyFont="0" applyFill="0" applyBorder="0" applyAlignment="0">
      <alignment horizontal="center"/>
    </xf>
    <xf numFmtId="174" fontId="14" fillId="0" borderId="0"/>
    <xf numFmtId="0" fontId="94" fillId="0" borderId="0"/>
    <xf numFmtId="0" fontId="1" fillId="0" borderId="0"/>
    <xf numFmtId="0" fontId="7" fillId="0" borderId="0"/>
    <xf numFmtId="3" fontId="95" fillId="0" borderId="0" applyFont="0" applyFill="0" applyBorder="0" applyAlignment="0" applyProtection="0"/>
    <xf numFmtId="167" fontId="56" fillId="0" borderId="0" applyFont="0" applyFill="0" applyBorder="0" applyAlignment="0" applyProtection="0"/>
    <xf numFmtId="0" fontId="96" fillId="0" borderId="0" applyNumberFormat="0" applyFill="0" applyBorder="0" applyAlignment="0" applyProtection="0"/>
    <xf numFmtId="0" fontId="48" fillId="0" borderId="0" applyNumberFormat="0" applyFill="0" applyBorder="0" applyAlignment="0" applyProtection="0"/>
    <xf numFmtId="0" fontId="1" fillId="0" borderId="0" applyNumberFormat="0" applyFill="0" applyBorder="0" applyAlignment="0" applyProtection="0"/>
    <xf numFmtId="0" fontId="7" fillId="0" borderId="0" applyFont="0" applyFill="0" applyBorder="0" applyAlignment="0" applyProtection="0"/>
    <xf numFmtId="0" fontId="49" fillId="0" borderId="0"/>
    <xf numFmtId="0" fontId="97" fillId="6" borderId="0"/>
    <xf numFmtId="14" fontId="65" fillId="0" borderId="0">
      <alignment horizontal="center" wrapText="1"/>
      <protection locked="0"/>
    </xf>
    <xf numFmtId="9" fontId="1" fillId="0" borderId="0" applyFont="0" applyFill="0" applyBorder="0" applyAlignment="0" applyProtection="0"/>
    <xf numFmtId="194" fontId="7" fillId="0" borderId="0" applyFont="0" applyFill="0" applyBorder="0" applyAlignment="0" applyProtection="0"/>
    <xf numFmtId="206" fontId="7" fillId="0" borderId="0" applyFont="0" applyFill="0" applyBorder="0" applyAlignment="0" applyProtection="0"/>
    <xf numFmtId="10" fontId="14" fillId="0" borderId="0" applyFont="0" applyFill="0" applyBorder="0" applyAlignment="0" applyProtection="0"/>
    <xf numFmtId="190" fontId="67" fillId="0" borderId="0" applyFill="0" applyBorder="0" applyAlignment="0"/>
    <xf numFmtId="189" fontId="67" fillId="0" borderId="0" applyFill="0" applyBorder="0" applyAlignment="0"/>
    <xf numFmtId="190" fontId="67" fillId="0" borderId="0" applyFill="0" applyBorder="0" applyAlignment="0"/>
    <xf numFmtId="195" fontId="67" fillId="0" borderId="0" applyFill="0" applyBorder="0" applyAlignment="0"/>
    <xf numFmtId="189" fontId="67" fillId="0" borderId="0" applyFill="0" applyBorder="0" applyAlignment="0"/>
    <xf numFmtId="0" fontId="98" fillId="0" borderId="0"/>
    <xf numFmtId="0" fontId="89" fillId="0" borderId="0" applyNumberFormat="0" applyFont="0" applyFill="0" applyBorder="0" applyAlignment="0" applyProtection="0">
      <alignment horizontal="left"/>
    </xf>
    <xf numFmtId="0" fontId="99" fillId="0" borderId="8">
      <alignment horizontal="center"/>
    </xf>
    <xf numFmtId="0" fontId="100" fillId="7" borderId="0" applyNumberFormat="0" applyFont="0" applyBorder="0" applyAlignment="0">
      <alignment horizontal="center"/>
    </xf>
    <xf numFmtId="14" fontId="101" fillId="0" borderId="0" applyNumberFormat="0" applyFill="0" applyBorder="0" applyAlignment="0" applyProtection="0">
      <alignment horizontal="left"/>
    </xf>
    <xf numFmtId="0" fontId="1" fillId="0" borderId="0" applyNumberFormat="0" applyFill="0" applyBorder="0" applyAlignment="0" applyProtection="0"/>
    <xf numFmtId="214" fontId="141" fillId="0" borderId="0" applyFont="0" applyFill="0" applyBorder="0" applyAlignment="0" applyProtection="0"/>
    <xf numFmtId="0" fontId="100" fillId="1" borderId="7" applyNumberFormat="0" applyFont="0" applyAlignment="0">
      <alignment horizontal="center"/>
    </xf>
    <xf numFmtId="0" fontId="102" fillId="0" borderId="0" applyNumberFormat="0" applyFill="0" applyBorder="0" applyAlignment="0">
      <alignment horizontal="center"/>
    </xf>
    <xf numFmtId="0" fontId="7" fillId="8" borderId="0"/>
    <xf numFmtId="0" fontId="54" fillId="0" borderId="0" applyNumberForma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16" fontId="48" fillId="0" borderId="0" applyFont="0" applyFill="0" applyBorder="0" applyAlignment="0" applyProtection="0"/>
    <xf numFmtId="219" fontId="54" fillId="0" borderId="0" applyFont="0" applyFill="0" applyBorder="0" applyAlignment="0" applyProtection="0"/>
    <xf numFmtId="218" fontId="1" fillId="0" borderId="0" applyFont="0" applyFill="0" applyBorder="0" applyAlignment="0" applyProtection="0"/>
    <xf numFmtId="218" fontId="1" fillId="0" borderId="0" applyFont="0" applyFill="0" applyBorder="0" applyAlignment="0" applyProtection="0"/>
    <xf numFmtId="216" fontId="48"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16" fontId="48" fillId="0" borderId="0" applyFont="0" applyFill="0" applyBorder="0" applyAlignment="0" applyProtection="0"/>
    <xf numFmtId="219" fontId="54" fillId="0" borderId="0" applyFont="0" applyFill="0" applyBorder="0" applyAlignment="0" applyProtection="0"/>
    <xf numFmtId="218" fontId="1" fillId="0" borderId="0" applyFont="0" applyFill="0" applyBorder="0" applyAlignment="0" applyProtection="0"/>
    <xf numFmtId="218" fontId="1" fillId="0" borderId="0" applyFont="0" applyFill="0" applyBorder="0" applyAlignment="0" applyProtection="0"/>
    <xf numFmtId="216" fontId="48" fillId="0" borderId="0" applyFont="0" applyFill="0" applyBorder="0" applyAlignment="0" applyProtection="0"/>
    <xf numFmtId="0" fontId="142" fillId="0" borderId="0"/>
    <xf numFmtId="0" fontId="91" fillId="0" borderId="0"/>
    <xf numFmtId="40" fontId="103" fillId="0" borderId="0" applyBorder="0">
      <alignment horizontal="right"/>
    </xf>
    <xf numFmtId="182" fontId="48" fillId="0" borderId="10">
      <alignment horizontal="right" vertical="center"/>
    </xf>
    <xf numFmtId="217" fontId="143" fillId="0" borderId="10">
      <alignment horizontal="right" vertical="center"/>
    </xf>
    <xf numFmtId="217" fontId="143" fillId="0" borderId="10">
      <alignment horizontal="right" vertical="center"/>
    </xf>
    <xf numFmtId="207" fontId="30" fillId="0" borderId="10">
      <alignment horizontal="right" vertical="center"/>
    </xf>
    <xf numFmtId="207" fontId="30" fillId="0" borderId="10">
      <alignment horizontal="right" vertical="center"/>
    </xf>
    <xf numFmtId="182" fontId="32" fillId="0" borderId="10">
      <alignment horizontal="right" vertical="center"/>
    </xf>
    <xf numFmtId="182" fontId="48" fillId="0" borderId="10">
      <alignment horizontal="right" vertical="center"/>
    </xf>
    <xf numFmtId="217" fontId="143" fillId="0" borderId="10">
      <alignment horizontal="right" vertical="center"/>
    </xf>
    <xf numFmtId="182" fontId="32" fillId="0" borderId="10">
      <alignment horizontal="right" vertical="center"/>
    </xf>
    <xf numFmtId="207" fontId="30" fillId="0" borderId="10">
      <alignment horizontal="right" vertical="center"/>
    </xf>
    <xf numFmtId="207" fontId="30" fillId="0" borderId="10">
      <alignment horizontal="right" vertical="center"/>
    </xf>
    <xf numFmtId="182" fontId="32" fillId="0" borderId="10">
      <alignment horizontal="right" vertical="center"/>
    </xf>
    <xf numFmtId="182" fontId="32" fillId="0" borderId="10">
      <alignment horizontal="right" vertical="center"/>
    </xf>
    <xf numFmtId="182" fontId="32" fillId="0" borderId="10">
      <alignment horizontal="right" vertical="center"/>
    </xf>
    <xf numFmtId="182" fontId="32" fillId="0" borderId="10">
      <alignment horizontal="right" vertical="center"/>
    </xf>
    <xf numFmtId="182" fontId="48" fillId="0" borderId="10">
      <alignment horizontal="right" vertical="center"/>
    </xf>
    <xf numFmtId="217" fontId="143" fillId="0" borderId="10">
      <alignment horizontal="right" vertical="center"/>
    </xf>
    <xf numFmtId="217" fontId="143" fillId="0" borderId="10">
      <alignment horizontal="right" vertical="center"/>
    </xf>
    <xf numFmtId="207" fontId="30" fillId="0" borderId="10">
      <alignment horizontal="right" vertical="center"/>
    </xf>
    <xf numFmtId="182" fontId="32" fillId="0" borderId="10">
      <alignment horizontal="right" vertical="center"/>
    </xf>
    <xf numFmtId="207" fontId="30" fillId="0" borderId="10">
      <alignment horizontal="right" vertical="center"/>
    </xf>
    <xf numFmtId="207" fontId="30" fillId="0" borderId="10">
      <alignment horizontal="right" vertical="center"/>
    </xf>
    <xf numFmtId="182" fontId="32" fillId="0" borderId="10">
      <alignment horizontal="right" vertical="center"/>
    </xf>
    <xf numFmtId="217" fontId="143" fillId="0" borderId="10">
      <alignment horizontal="right" vertical="center"/>
    </xf>
    <xf numFmtId="207" fontId="30" fillId="0" borderId="10">
      <alignment horizontal="right" vertical="center"/>
    </xf>
    <xf numFmtId="182" fontId="32" fillId="0" borderId="10">
      <alignment horizontal="right" vertical="center"/>
    </xf>
    <xf numFmtId="217" fontId="143" fillId="0" borderId="10">
      <alignment horizontal="right" vertical="center"/>
    </xf>
    <xf numFmtId="217" fontId="143" fillId="0" borderId="10">
      <alignment horizontal="right" vertical="center"/>
    </xf>
    <xf numFmtId="49" fontId="73" fillId="0" borderId="0" applyFill="0" applyBorder="0" applyAlignment="0"/>
    <xf numFmtId="208" fontId="7" fillId="0" borderId="0" applyFill="0" applyBorder="0" applyAlignment="0"/>
    <xf numFmtId="180" fontId="7" fillId="0" borderId="0" applyFill="0" applyBorder="0" applyAlignment="0"/>
    <xf numFmtId="183" fontId="48" fillId="0" borderId="10">
      <alignment horizontal="center"/>
    </xf>
    <xf numFmtId="0" fontId="104" fillId="0" borderId="11"/>
    <xf numFmtId="0" fontId="104" fillId="0" borderId="11"/>
    <xf numFmtId="0" fontId="105" fillId="0" borderId="11"/>
    <xf numFmtId="0" fontId="105" fillId="0" borderId="11"/>
    <xf numFmtId="0" fontId="104" fillId="0" borderId="11"/>
    <xf numFmtId="0" fontId="104" fillId="0" borderId="11"/>
    <xf numFmtId="0" fontId="104" fillId="0" borderId="11"/>
    <xf numFmtId="0" fontId="48" fillId="0" borderId="0" applyNumberFormat="0" applyFill="0" applyBorder="0" applyAlignment="0" applyProtection="0"/>
    <xf numFmtId="0" fontId="96" fillId="0" borderId="0" applyNumberFormat="0" applyFill="0" applyBorder="0" applyAlignment="0" applyProtection="0"/>
    <xf numFmtId="3" fontId="15" fillId="0" borderId="12" applyNumberFormat="0" applyBorder="0" applyAlignment="0"/>
    <xf numFmtId="0" fontId="106" fillId="0" borderId="0" applyFont="0">
      <alignment horizontal="centerContinuous"/>
    </xf>
    <xf numFmtId="0" fontId="7" fillId="0" borderId="13" applyNumberFormat="0" applyFont="0" applyFill="0" applyAlignment="0" applyProtection="0"/>
    <xf numFmtId="180" fontId="48" fillId="0" borderId="0"/>
    <xf numFmtId="181" fontId="48" fillId="0" borderId="2"/>
    <xf numFmtId="0" fontId="107" fillId="0" borderId="0"/>
    <xf numFmtId="3" fontId="32" fillId="0" borderId="0" applyNumberFormat="0" applyBorder="0" applyAlignment="0" applyProtection="0">
      <alignment horizontal="centerContinuous"/>
      <protection locked="0"/>
    </xf>
    <xf numFmtId="3" fontId="144" fillId="0" borderId="0">
      <protection locked="0"/>
    </xf>
    <xf numFmtId="0" fontId="107" fillId="0" borderId="0"/>
    <xf numFmtId="5" fontId="108" fillId="9" borderId="14">
      <alignment vertical="top"/>
    </xf>
    <xf numFmtId="0" fontId="28" fillId="10" borderId="2">
      <alignment horizontal="left" vertical="center"/>
    </xf>
    <xf numFmtId="6" fontId="109" fillId="11" borderId="14"/>
    <xf numFmtId="5" fontId="86" fillId="0" borderId="14">
      <alignment horizontal="left" vertical="top"/>
    </xf>
    <xf numFmtId="0" fontId="110" fillId="12" borderId="0">
      <alignment horizontal="left" vertical="center"/>
    </xf>
    <xf numFmtId="5" fontId="63" fillId="0" borderId="15">
      <alignment horizontal="left" vertical="top"/>
    </xf>
    <xf numFmtId="0" fontId="111" fillId="0" borderId="15">
      <alignment horizontal="left" vertical="center"/>
    </xf>
    <xf numFmtId="209" fontId="7" fillId="0" borderId="0" applyFont="0" applyFill="0" applyBorder="0" applyAlignment="0" applyProtection="0"/>
    <xf numFmtId="210" fontId="7" fillId="0" borderId="0" applyFont="0" applyFill="0" applyBorder="0" applyAlignment="0" applyProtection="0"/>
    <xf numFmtId="0" fontId="16" fillId="0" borderId="0" applyNumberFormat="0" applyFill="0" applyBorder="0" applyAlignment="0" applyProtection="0"/>
    <xf numFmtId="42" fontId="112" fillId="0" borderId="0" applyFont="0" applyFill="0" applyBorder="0" applyAlignment="0" applyProtection="0"/>
    <xf numFmtId="44" fontId="112" fillId="0" borderId="0" applyFont="0" applyFill="0" applyBorder="0" applyAlignment="0" applyProtection="0"/>
    <xf numFmtId="0" fontId="112" fillId="0" borderId="0"/>
    <xf numFmtId="40" fontId="17" fillId="0" borderId="0" applyFont="0" applyFill="0" applyBorder="0" applyAlignment="0" applyProtection="0"/>
    <xf numFmtId="38"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9" fontId="18" fillId="0" borderId="0" applyFont="0" applyFill="0" applyBorder="0" applyAlignment="0" applyProtection="0"/>
    <xf numFmtId="0" fontId="19" fillId="0" borderId="0"/>
    <xf numFmtId="0" fontId="13" fillId="0" borderId="0"/>
    <xf numFmtId="167" fontId="20" fillId="0" borderId="0" applyFont="0" applyFill="0" applyBorder="0" applyAlignment="0" applyProtection="0"/>
    <xf numFmtId="165" fontId="20"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8" fillId="0" borderId="0" applyFont="0" applyFill="0" applyBorder="0" applyAlignment="0" applyProtection="0"/>
    <xf numFmtId="0" fontId="18" fillId="0" borderId="0" applyFont="0" applyFill="0" applyBorder="0" applyAlignment="0" applyProtection="0"/>
    <xf numFmtId="169" fontId="21" fillId="0" borderId="0" applyFont="0" applyFill="0" applyBorder="0" applyAlignment="0" applyProtection="0"/>
    <xf numFmtId="168" fontId="21" fillId="0" borderId="0" applyFont="0" applyFill="0" applyBorder="0" applyAlignment="0" applyProtection="0"/>
    <xf numFmtId="0" fontId="22" fillId="0" borderId="0"/>
    <xf numFmtId="0" fontId="50" fillId="0" borderId="0"/>
    <xf numFmtId="43" fontId="7" fillId="0" borderId="0" applyFont="0" applyFill="0" applyBorder="0" applyAlignment="0" applyProtection="0"/>
    <xf numFmtId="41" fontId="7" fillId="0" borderId="0" applyFont="0" applyFill="0" applyBorder="0" applyAlignment="0" applyProtection="0"/>
    <xf numFmtId="211" fontId="113" fillId="0" borderId="0"/>
    <xf numFmtId="171" fontId="20" fillId="0" borderId="0" applyFont="0" applyFill="0" applyBorder="0" applyAlignment="0" applyProtection="0"/>
    <xf numFmtId="170" fontId="23" fillId="0" borderId="0" applyFont="0" applyFill="0" applyBorder="0" applyAlignment="0" applyProtection="0"/>
    <xf numFmtId="172" fontId="20"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5" fillId="0" borderId="0">
      <alignment vertical="center"/>
    </xf>
  </cellStyleXfs>
  <cellXfs count="1771">
    <xf numFmtId="0" fontId="0" fillId="0" borderId="0" xfId="0"/>
    <xf numFmtId="164" fontId="8" fillId="13" borderId="2" xfId="73" applyNumberFormat="1" applyFont="1" applyFill="1" applyBorder="1" applyAlignment="1">
      <alignment horizontal="center" vertical="center"/>
    </xf>
    <xf numFmtId="164" fontId="28" fillId="6" borderId="0" xfId="73" applyNumberFormat="1" applyFont="1" applyFill="1" applyAlignment="1">
      <alignment horizontal="center"/>
    </xf>
    <xf numFmtId="49" fontId="30" fillId="0" borderId="0" xfId="0" applyNumberFormat="1" applyFont="1" applyAlignment="1">
      <alignment horizontal="center"/>
    </xf>
    <xf numFmtId="2" fontId="28" fillId="0" borderId="0" xfId="0" applyNumberFormat="1" applyFont="1" applyAlignment="1">
      <alignment horizontal="left"/>
    </xf>
    <xf numFmtId="14" fontId="28" fillId="0" borderId="0" xfId="0" applyNumberFormat="1" applyFont="1" applyAlignment="1">
      <alignment horizontal="left"/>
    </xf>
    <xf numFmtId="0" fontId="30" fillId="0" borderId="0" xfId="0" applyFont="1"/>
    <xf numFmtId="0" fontId="30" fillId="0" borderId="0" xfId="0" applyFont="1" applyAlignment="1">
      <alignment horizontal="center"/>
    </xf>
    <xf numFmtId="164" fontId="30" fillId="0" borderId="0" xfId="73" applyNumberFormat="1" applyFont="1"/>
    <xf numFmtId="37" fontId="30" fillId="0" borderId="0" xfId="73" applyNumberFormat="1" applyFont="1"/>
    <xf numFmtId="0" fontId="30" fillId="0" borderId="0" xfId="0" applyFont="1" applyBorder="1"/>
    <xf numFmtId="49" fontId="28" fillId="0" borderId="0" xfId="0" applyNumberFormat="1" applyFont="1" applyAlignment="1">
      <alignment horizontal="left"/>
    </xf>
    <xf numFmtId="49" fontId="30" fillId="0" borderId="0" xfId="0" applyNumberFormat="1" applyFont="1" applyAlignment="1">
      <alignment horizontal="left"/>
    </xf>
    <xf numFmtId="14" fontId="30" fillId="0" borderId="0" xfId="0" applyNumberFormat="1" applyFont="1" applyAlignment="1">
      <alignment horizontal="center"/>
    </xf>
    <xf numFmtId="49" fontId="31" fillId="14" borderId="14" xfId="0" applyNumberFormat="1" applyFont="1" applyFill="1" applyBorder="1" applyAlignment="1">
      <alignment horizontal="center" vertical="center"/>
    </xf>
    <xf numFmtId="14" fontId="31" fillId="14" borderId="16" xfId="0" applyNumberFormat="1" applyFont="1" applyFill="1" applyBorder="1" applyAlignment="1">
      <alignment horizontal="center" vertical="center"/>
    </xf>
    <xf numFmtId="37" fontId="31" fillId="14" borderId="17" xfId="73" applyNumberFormat="1" applyFont="1" applyFill="1" applyBorder="1" applyAlignment="1">
      <alignment horizontal="center" vertical="center"/>
    </xf>
    <xf numFmtId="49" fontId="31" fillId="14" borderId="4" xfId="0" applyNumberFormat="1" applyFont="1" applyFill="1" applyBorder="1" applyAlignment="1">
      <alignment horizontal="center" vertical="center"/>
    </xf>
    <xf numFmtId="14" fontId="31" fillId="14" borderId="4" xfId="0" applyNumberFormat="1" applyFont="1" applyFill="1" applyBorder="1" applyAlignment="1">
      <alignment horizontal="center" vertical="center"/>
    </xf>
    <xf numFmtId="0" fontId="31" fillId="14" borderId="4" xfId="0" applyFont="1" applyFill="1" applyBorder="1" applyAlignment="1">
      <alignment horizontal="center" vertical="center"/>
    </xf>
    <xf numFmtId="37" fontId="31" fillId="14" borderId="4" xfId="73" applyNumberFormat="1" applyFont="1" applyFill="1" applyBorder="1" applyAlignment="1">
      <alignment horizontal="center" vertical="center"/>
    </xf>
    <xf numFmtId="1" fontId="8" fillId="6" borderId="0" xfId="73" applyNumberFormat="1" applyFont="1" applyFill="1" applyAlignment="1">
      <alignment horizontal="center"/>
    </xf>
    <xf numFmtId="0" fontId="26" fillId="6" borderId="0" xfId="0" applyFont="1" applyFill="1"/>
    <xf numFmtId="0" fontId="0" fillId="6" borderId="0" xfId="0" applyFill="1"/>
    <xf numFmtId="1" fontId="1" fillId="6" borderId="0" xfId="73" applyNumberFormat="1" applyFill="1" applyAlignment="1">
      <alignment horizontal="center"/>
    </xf>
    <xf numFmtId="0" fontId="8" fillId="6" borderId="0" xfId="0" applyFont="1" applyFill="1"/>
    <xf numFmtId="0" fontId="8" fillId="6" borderId="0" xfId="0" applyFont="1" applyFill="1" applyAlignment="1">
      <alignment horizontal="center"/>
    </xf>
    <xf numFmtId="0" fontId="3" fillId="6" borderId="0" xfId="0" applyFont="1" applyFill="1"/>
    <xf numFmtId="0" fontId="2" fillId="6" borderId="0" xfId="0" applyFont="1" applyFill="1"/>
    <xf numFmtId="1" fontId="29" fillId="6" borderId="0" xfId="73" applyNumberFormat="1" applyFont="1" applyFill="1" applyAlignment="1">
      <alignment horizontal="center"/>
    </xf>
    <xf numFmtId="0" fontId="29" fillId="6" borderId="0" xfId="0" applyFont="1" applyFill="1" applyAlignment="1">
      <alignment horizontal="center"/>
    </xf>
    <xf numFmtId="1" fontId="28" fillId="6" borderId="0" xfId="73" applyNumberFormat="1" applyFont="1" applyFill="1" applyAlignment="1">
      <alignment horizontal="center"/>
    </xf>
    <xf numFmtId="0" fontId="28" fillId="6" borderId="0" xfId="0" applyFont="1" applyFill="1" applyAlignment="1">
      <alignment horizontal="center"/>
    </xf>
    <xf numFmtId="1" fontId="3" fillId="15" borderId="12" xfId="73" applyNumberFormat="1" applyFont="1" applyFill="1" applyBorder="1" applyAlignment="1">
      <alignment horizontal="center"/>
    </xf>
    <xf numFmtId="43" fontId="3" fillId="15" borderId="12" xfId="73" applyFont="1" applyFill="1" applyBorder="1"/>
    <xf numFmtId="1" fontId="3" fillId="15" borderId="18" xfId="73" applyNumberFormat="1" applyFont="1" applyFill="1" applyBorder="1" applyAlignment="1">
      <alignment horizontal="center"/>
    </xf>
    <xf numFmtId="43" fontId="3" fillId="15" borderId="12" xfId="73" quotePrefix="1" applyFont="1" applyFill="1" applyBorder="1" applyAlignment="1">
      <alignment horizontal="left"/>
    </xf>
    <xf numFmtId="43" fontId="3" fillId="15" borderId="18" xfId="73" applyFont="1" applyFill="1" applyBorder="1"/>
    <xf numFmtId="1" fontId="3" fillId="15" borderId="19" xfId="73" applyNumberFormat="1" applyFont="1" applyFill="1" applyBorder="1" applyAlignment="1">
      <alignment horizontal="center"/>
    </xf>
    <xf numFmtId="0" fontId="3" fillId="15" borderId="19" xfId="0" applyFont="1" applyFill="1" applyBorder="1"/>
    <xf numFmtId="1" fontId="2" fillId="13" borderId="2" xfId="73" applyNumberFormat="1" applyFont="1" applyFill="1" applyBorder="1" applyAlignment="1">
      <alignment horizontal="center"/>
    </xf>
    <xf numFmtId="0" fontId="2" fillId="13" borderId="2" xfId="0" applyFont="1" applyFill="1" applyBorder="1"/>
    <xf numFmtId="1" fontId="8" fillId="6" borderId="0" xfId="73" applyNumberFormat="1" applyFont="1" applyFill="1" applyAlignment="1">
      <alignment horizontal="left"/>
    </xf>
    <xf numFmtId="164" fontId="1" fillId="6" borderId="0" xfId="73" applyNumberFormat="1" applyFill="1"/>
    <xf numFmtId="164" fontId="29" fillId="6" borderId="0" xfId="73" applyNumberFormat="1" applyFont="1" applyFill="1" applyAlignment="1">
      <alignment horizontal="right"/>
    </xf>
    <xf numFmtId="164" fontId="3" fillId="15" borderId="12" xfId="73" applyNumberFormat="1" applyFont="1" applyFill="1" applyBorder="1"/>
    <xf numFmtId="164" fontId="3" fillId="15" borderId="18" xfId="73" applyNumberFormat="1" applyFont="1" applyFill="1" applyBorder="1"/>
    <xf numFmtId="164" fontId="2" fillId="13" borderId="2" xfId="73" applyNumberFormat="1" applyFont="1" applyFill="1" applyBorder="1"/>
    <xf numFmtId="164" fontId="29" fillId="6" borderId="0" xfId="73" applyNumberFormat="1" applyFont="1" applyFill="1" applyAlignment="1">
      <alignment horizontal="center"/>
    </xf>
    <xf numFmtId="9" fontId="1" fillId="6" borderId="0" xfId="171" applyFill="1"/>
    <xf numFmtId="0" fontId="28" fillId="0" borderId="0" xfId="0" applyFont="1"/>
    <xf numFmtId="164" fontId="0" fillId="6" borderId="0" xfId="73" applyNumberFormat="1" applyFont="1" applyFill="1"/>
    <xf numFmtId="164" fontId="8" fillId="6" borderId="0" xfId="73" applyNumberFormat="1" applyFont="1" applyFill="1"/>
    <xf numFmtId="164" fontId="8" fillId="6" borderId="0" xfId="73" applyNumberFormat="1" applyFont="1" applyFill="1" applyAlignment="1">
      <alignment horizontal="center"/>
    </xf>
    <xf numFmtId="164" fontId="3" fillId="6" borderId="0" xfId="73" applyNumberFormat="1" applyFont="1" applyFill="1"/>
    <xf numFmtId="164" fontId="2" fillId="6" borderId="0" xfId="73" applyNumberFormat="1" applyFont="1" applyFill="1"/>
    <xf numFmtId="164" fontId="31" fillId="14" borderId="14" xfId="73" applyNumberFormat="1" applyFont="1" applyFill="1" applyBorder="1" applyAlignment="1">
      <alignment horizontal="center" vertical="center"/>
    </xf>
    <xf numFmtId="164" fontId="31" fillId="14" borderId="4" xfId="73" applyNumberFormat="1" applyFont="1" applyFill="1" applyBorder="1" applyAlignment="1">
      <alignment vertical="center"/>
    </xf>
    <xf numFmtId="164" fontId="28" fillId="0" borderId="0" xfId="73" applyNumberFormat="1" applyFont="1" applyAlignment="1">
      <alignment horizontal="right"/>
    </xf>
    <xf numFmtId="0" fontId="7" fillId="0" borderId="0" xfId="12" applyFont="1" applyFill="1"/>
    <xf numFmtId="41" fontId="2" fillId="0" borderId="0" xfId="86" applyNumberFormat="1" applyFont="1" applyAlignment="1">
      <alignment horizontal="center"/>
    </xf>
    <xf numFmtId="0" fontId="0" fillId="0" borderId="0" xfId="0" applyProtection="1">
      <protection locked="0"/>
    </xf>
    <xf numFmtId="41" fontId="3" fillId="0" borderId="0" xfId="86" applyNumberFormat="1" applyFont="1" applyAlignment="1"/>
    <xf numFmtId="41" fontId="2" fillId="0" borderId="0" xfId="73" applyNumberFormat="1" applyFont="1" applyAlignment="1">
      <alignment horizontal="center"/>
    </xf>
    <xf numFmtId="41" fontId="34" fillId="0" borderId="0" xfId="86" applyNumberFormat="1" applyFont="1" applyAlignment="1">
      <alignment horizontal="center"/>
    </xf>
    <xf numFmtId="41" fontId="34" fillId="0" borderId="0" xfId="86" applyNumberFormat="1" applyFont="1"/>
    <xf numFmtId="41" fontId="3" fillId="0" borderId="0" xfId="86" applyNumberFormat="1" applyFont="1" applyAlignment="1">
      <alignment horizontal="center"/>
    </xf>
    <xf numFmtId="41" fontId="3" fillId="0" borderId="0" xfId="73" applyNumberFormat="1" applyFont="1" applyAlignment="1">
      <alignment horizontal="center"/>
    </xf>
    <xf numFmtId="41" fontId="3" fillId="0" borderId="0" xfId="86" applyNumberFormat="1" applyFont="1"/>
    <xf numFmtId="41" fontId="34" fillId="0" borderId="0" xfId="86" applyNumberFormat="1" applyFont="1" applyAlignment="1">
      <alignment horizontal="center" vertical="center"/>
    </xf>
    <xf numFmtId="41" fontId="34" fillId="0" borderId="0" xfId="73" applyNumberFormat="1" applyFont="1"/>
    <xf numFmtId="41" fontId="34" fillId="0" borderId="0" xfId="86" applyNumberFormat="1" applyFont="1" applyAlignment="1"/>
    <xf numFmtId="41" fontId="4" fillId="0" borderId="0" xfId="86" applyNumberFormat="1" applyFont="1" applyAlignment="1">
      <alignment horizontal="center"/>
    </xf>
    <xf numFmtId="41" fontId="5" fillId="0" borderId="0" xfId="86" applyNumberFormat="1" applyFont="1" applyAlignment="1">
      <alignment horizontal="center"/>
    </xf>
    <xf numFmtId="41" fontId="5" fillId="0" borderId="0" xfId="73" applyNumberFormat="1" applyFont="1" applyAlignment="1">
      <alignment horizontal="center"/>
    </xf>
    <xf numFmtId="41" fontId="5" fillId="0" borderId="0" xfId="86" applyNumberFormat="1" applyFont="1" applyAlignment="1">
      <alignment horizontal="right"/>
    </xf>
    <xf numFmtId="41" fontId="4" fillId="0" borderId="7" xfId="86" applyNumberFormat="1" applyFont="1" applyBorder="1" applyAlignment="1">
      <alignment horizontal="center" vertical="center" wrapText="1"/>
    </xf>
    <xf numFmtId="41" fontId="4" fillId="0" borderId="0" xfId="86" applyNumberFormat="1" applyFont="1" applyBorder="1" applyAlignment="1">
      <alignment horizontal="center" vertical="center" wrapText="1"/>
    </xf>
    <xf numFmtId="41" fontId="2" fillId="0" borderId="0" xfId="86" applyNumberFormat="1" applyFont="1" applyAlignment="1">
      <alignment vertical="center" wrapText="1"/>
    </xf>
    <xf numFmtId="41" fontId="2" fillId="0" borderId="0" xfId="86" applyNumberFormat="1" applyFont="1" applyAlignment="1">
      <alignment horizontal="center" vertical="center" wrapText="1"/>
    </xf>
    <xf numFmtId="41" fontId="2" fillId="0" borderId="0" xfId="86" applyNumberFormat="1" applyFont="1" applyBorder="1" applyAlignment="1"/>
    <xf numFmtId="41" fontId="2" fillId="0" borderId="0" xfId="86" applyNumberFormat="1" applyFont="1" applyBorder="1" applyAlignment="1">
      <alignment horizontal="center"/>
    </xf>
    <xf numFmtId="41" fontId="2" fillId="0" borderId="0" xfId="86" applyNumberFormat="1" applyFont="1"/>
    <xf numFmtId="41" fontId="2" fillId="0" borderId="0" xfId="86" applyNumberFormat="1" applyFont="1" applyAlignment="1"/>
    <xf numFmtId="41" fontId="2" fillId="0" borderId="0" xfId="86" applyNumberFormat="1" applyFont="1" applyAlignment="1">
      <alignment horizontal="center" vertical="center"/>
    </xf>
    <xf numFmtId="41" fontId="2" fillId="0" borderId="0" xfId="73" applyNumberFormat="1" applyFont="1"/>
    <xf numFmtId="41" fontId="2" fillId="0" borderId="0" xfId="73" applyNumberFormat="1" applyFont="1" applyAlignment="1"/>
    <xf numFmtId="41" fontId="35" fillId="0" borderId="0" xfId="73" applyNumberFormat="1" applyFont="1"/>
    <xf numFmtId="41" fontId="35" fillId="0" borderId="0" xfId="86" applyNumberFormat="1" applyFont="1" applyAlignment="1"/>
    <xf numFmtId="41" fontId="35" fillId="0" borderId="0" xfId="86" applyNumberFormat="1" applyFont="1"/>
    <xf numFmtId="41" fontId="3" fillId="0" borderId="0" xfId="0" applyNumberFormat="1" applyFont="1" applyAlignment="1">
      <alignment horizontal="center" wrapText="1"/>
    </xf>
    <xf numFmtId="41" fontId="34" fillId="0" borderId="0" xfId="73" applyNumberFormat="1" applyFont="1" applyAlignment="1">
      <alignment horizontal="center"/>
    </xf>
    <xf numFmtId="41" fontId="2" fillId="0" borderId="0" xfId="86" applyNumberFormat="1" applyFont="1" applyFill="1" applyAlignment="1"/>
    <xf numFmtId="41" fontId="2" fillId="0" borderId="0" xfId="86" applyNumberFormat="1" applyFont="1" applyFill="1" applyBorder="1" applyAlignment="1"/>
    <xf numFmtId="0" fontId="4" fillId="0" borderId="7" xfId="86" applyNumberFormat="1" applyFont="1" applyBorder="1" applyAlignment="1">
      <alignment horizontal="center" vertical="center" wrapText="1"/>
    </xf>
    <xf numFmtId="0" fontId="4" fillId="0" borderId="0" xfId="86" applyNumberFormat="1" applyFont="1" applyBorder="1" applyAlignment="1">
      <alignment horizontal="center" vertical="center" wrapText="1"/>
    </xf>
    <xf numFmtId="0" fontId="2" fillId="0" borderId="7" xfId="86" applyNumberFormat="1" applyFont="1" applyBorder="1" applyAlignment="1">
      <alignment horizontal="center" vertical="center" wrapText="1"/>
    </xf>
    <xf numFmtId="41" fontId="30" fillId="0" borderId="0" xfId="86" applyNumberFormat="1" applyFont="1" applyAlignment="1"/>
    <xf numFmtId="41" fontId="28" fillId="0" borderId="0" xfId="86" applyNumberFormat="1" applyFont="1" applyAlignment="1">
      <alignment horizontal="center"/>
    </xf>
    <xf numFmtId="41" fontId="28" fillId="0" borderId="0" xfId="73" applyNumberFormat="1" applyFont="1" applyAlignment="1">
      <alignment horizontal="center"/>
    </xf>
    <xf numFmtId="41" fontId="30" fillId="0" borderId="0" xfId="0" applyNumberFormat="1" applyFont="1" applyAlignment="1"/>
    <xf numFmtId="41" fontId="30" fillId="0" borderId="0" xfId="86" applyNumberFormat="1" applyFont="1" applyAlignment="1">
      <alignment horizontal="center"/>
    </xf>
    <xf numFmtId="41" fontId="30" fillId="0" borderId="0" xfId="73" applyNumberFormat="1" applyFont="1" applyAlignment="1">
      <alignment horizontal="center"/>
    </xf>
    <xf numFmtId="41" fontId="30" fillId="0" borderId="0" xfId="86" applyNumberFormat="1" applyFont="1"/>
    <xf numFmtId="41" fontId="30" fillId="0" borderId="3" xfId="0" applyNumberFormat="1" applyFont="1" applyBorder="1" applyAlignment="1"/>
    <xf numFmtId="41" fontId="30" fillId="0" borderId="3" xfId="86" applyNumberFormat="1" applyFont="1" applyBorder="1" applyAlignment="1"/>
    <xf numFmtId="41" fontId="30" fillId="0" borderId="3" xfId="86" applyNumberFormat="1" applyFont="1" applyBorder="1" applyAlignment="1">
      <alignment horizontal="center"/>
    </xf>
    <xf numFmtId="41" fontId="30" fillId="0" borderId="3" xfId="73" applyNumberFormat="1" applyFont="1" applyBorder="1" applyAlignment="1">
      <alignment horizontal="right"/>
    </xf>
    <xf numFmtId="41" fontId="30" fillId="0" borderId="3" xfId="86" applyNumberFormat="1" applyFont="1" applyBorder="1" applyAlignment="1">
      <alignment horizontal="right"/>
    </xf>
    <xf numFmtId="41" fontId="30" fillId="0" borderId="3" xfId="86" applyNumberFormat="1" applyFont="1" applyBorder="1"/>
    <xf numFmtId="164" fontId="30" fillId="0" borderId="0" xfId="73" applyNumberFormat="1" applyFont="1" applyAlignment="1"/>
    <xf numFmtId="164" fontId="30" fillId="0" borderId="0" xfId="73" applyNumberFormat="1" applyFont="1" applyBorder="1"/>
    <xf numFmtId="43" fontId="30" fillId="0" borderId="0" xfId="73" applyFont="1"/>
    <xf numFmtId="164" fontId="28" fillId="0" borderId="0" xfId="73" applyNumberFormat="1" applyFont="1"/>
    <xf numFmtId="164" fontId="30" fillId="0" borderId="0" xfId="73" applyNumberFormat="1" applyFont="1" applyFill="1" applyBorder="1"/>
    <xf numFmtId="43" fontId="28" fillId="0" borderId="0" xfId="73" applyFont="1" applyAlignment="1">
      <alignment horizontal="right"/>
    </xf>
    <xf numFmtId="41" fontId="4" fillId="15" borderId="0" xfId="86" applyNumberFormat="1" applyFont="1" applyFill="1" applyBorder="1" applyAlignment="1">
      <alignment horizontal="center" vertical="center" wrapText="1"/>
    </xf>
    <xf numFmtId="41" fontId="2" fillId="15" borderId="7" xfId="86" applyNumberFormat="1" applyFont="1" applyFill="1" applyBorder="1" applyAlignment="1">
      <alignment horizontal="center" vertical="center" wrapText="1"/>
    </xf>
    <xf numFmtId="164" fontId="30" fillId="0" borderId="0" xfId="73" applyNumberFormat="1" applyFont="1" applyBorder="1" applyAlignment="1"/>
    <xf numFmtId="0" fontId="30" fillId="0" borderId="0" xfId="0" applyFont="1" applyBorder="1" applyAlignment="1">
      <alignment horizontal="center"/>
    </xf>
    <xf numFmtId="164" fontId="0" fillId="0" borderId="0" xfId="73" applyNumberFormat="1" applyFont="1"/>
    <xf numFmtId="10" fontId="0" fillId="0" borderId="0" xfId="171" applyNumberFormat="1" applyFont="1"/>
    <xf numFmtId="43" fontId="30" fillId="0" borderId="0" xfId="73" applyFont="1" applyBorder="1"/>
    <xf numFmtId="0" fontId="30" fillId="0" borderId="0" xfId="0" applyFont="1" applyFill="1" applyBorder="1"/>
    <xf numFmtId="49" fontId="30" fillId="0" borderId="0" xfId="0" applyNumberFormat="1" applyFont="1" applyFill="1" applyBorder="1" applyAlignment="1">
      <alignment horizontal="center"/>
    </xf>
    <xf numFmtId="14" fontId="30" fillId="0" borderId="0" xfId="0" applyNumberFormat="1" applyFont="1" applyFill="1" applyBorder="1" applyAlignment="1">
      <alignment horizontal="center"/>
    </xf>
    <xf numFmtId="0" fontId="30" fillId="0" borderId="0" xfId="0" applyFont="1" applyFill="1" applyBorder="1" applyAlignment="1">
      <alignment wrapText="1"/>
    </xf>
    <xf numFmtId="0" fontId="30" fillId="0" borderId="0" xfId="0" applyFont="1" applyFill="1" applyBorder="1" applyAlignment="1">
      <alignment horizontal="center"/>
    </xf>
    <xf numFmtId="1" fontId="3" fillId="0" borderId="0" xfId="73" applyNumberFormat="1" applyFont="1" applyFill="1" applyBorder="1" applyAlignment="1">
      <alignment horizontal="center"/>
    </xf>
    <xf numFmtId="0" fontId="30" fillId="0" borderId="0" xfId="0" applyFont="1" applyFill="1" applyBorder="1" applyAlignment="1">
      <alignment horizontal="right"/>
    </xf>
    <xf numFmtId="43" fontId="30" fillId="0" borderId="0" xfId="73" applyFont="1" applyFill="1" applyBorder="1" applyAlignment="1">
      <alignment wrapText="1"/>
    </xf>
    <xf numFmtId="0" fontId="30" fillId="0" borderId="0" xfId="0" applyFont="1" applyFill="1" applyBorder="1" applyAlignment="1"/>
    <xf numFmtId="1" fontId="3" fillId="0" borderId="0" xfId="73" applyNumberFormat="1" applyFont="1" applyFill="1" applyBorder="1" applyAlignment="1">
      <alignment horizontal="right"/>
    </xf>
    <xf numFmtId="37" fontId="30" fillId="0" borderId="0" xfId="73" applyNumberFormat="1" applyFont="1" applyFill="1" applyBorder="1"/>
    <xf numFmtId="43" fontId="30" fillId="0" borderId="0" xfId="73" applyFont="1" applyFill="1" applyBorder="1"/>
    <xf numFmtId="0" fontId="11" fillId="0" borderId="0" xfId="134" applyFill="1" applyBorder="1" applyAlignment="1" applyProtection="1"/>
    <xf numFmtId="49" fontId="30" fillId="0" borderId="0" xfId="0" applyNumberFormat="1" applyFont="1" applyBorder="1" applyAlignment="1">
      <alignment horizontal="center"/>
    </xf>
    <xf numFmtId="14" fontId="30" fillId="0" borderId="0" xfId="0" applyNumberFormat="1" applyFont="1" applyBorder="1" applyAlignment="1">
      <alignment horizontal="center"/>
    </xf>
    <xf numFmtId="37" fontId="30" fillId="0" borderId="0" xfId="73" applyNumberFormat="1" applyFont="1" applyBorder="1"/>
    <xf numFmtId="0" fontId="28" fillId="0" borderId="0" xfId="0" applyFont="1" applyAlignment="1">
      <alignment horizontal="center"/>
    </xf>
    <xf numFmtId="164" fontId="28" fillId="0" borderId="0" xfId="73" applyNumberFormat="1" applyFont="1" applyAlignment="1">
      <alignment horizontal="center"/>
    </xf>
    <xf numFmtId="9" fontId="0" fillId="0" borderId="0" xfId="171" applyFont="1"/>
    <xf numFmtId="9" fontId="28" fillId="0" borderId="0" xfId="171" applyFont="1"/>
    <xf numFmtId="3" fontId="3" fillId="0" borderId="0" xfId="0" applyNumberFormat="1" applyFont="1" applyBorder="1" applyAlignment="1">
      <alignment horizontal="right"/>
    </xf>
    <xf numFmtId="3" fontId="2" fillId="0" borderId="0" xfId="0" applyNumberFormat="1" applyFont="1" applyBorder="1" applyAlignment="1">
      <alignment horizontal="right"/>
    </xf>
    <xf numFmtId="41" fontId="2" fillId="15" borderId="0" xfId="86" applyNumberFormat="1" applyFont="1" applyFill="1" applyBorder="1" applyAlignment="1">
      <alignment horizontal="center" vertical="center" wrapText="1"/>
    </xf>
    <xf numFmtId="0" fontId="2" fillId="0" borderId="0" xfId="86" applyNumberFormat="1" applyFont="1" applyBorder="1" applyAlignment="1">
      <alignment horizontal="center" vertical="center" wrapText="1"/>
    </xf>
    <xf numFmtId="164" fontId="1" fillId="6" borderId="0" xfId="73" applyNumberFormat="1" applyFont="1" applyFill="1"/>
    <xf numFmtId="43" fontId="28" fillId="0" borderId="3" xfId="73" applyFont="1" applyBorder="1" applyAlignment="1">
      <alignment horizontal="left"/>
    </xf>
    <xf numFmtId="0" fontId="28" fillId="6" borderId="0" xfId="0" applyFont="1" applyFill="1" applyAlignment="1">
      <alignment horizontal="center" vertical="center"/>
    </xf>
    <xf numFmtId="164" fontId="28" fillId="6" borderId="0" xfId="73" applyNumberFormat="1" applyFont="1" applyFill="1" applyAlignment="1">
      <alignment horizontal="right" vertical="center"/>
    </xf>
    <xf numFmtId="0" fontId="30" fillId="6" borderId="0" xfId="0" applyFont="1" applyFill="1" applyAlignment="1">
      <alignment horizontal="center" vertical="center"/>
    </xf>
    <xf numFmtId="164" fontId="30" fillId="6" borderId="0" xfId="73" applyNumberFormat="1" applyFont="1" applyFill="1" applyAlignment="1">
      <alignment horizontal="right" vertical="center"/>
    </xf>
    <xf numFmtId="0" fontId="30" fillId="6" borderId="3" xfId="0" applyFont="1" applyFill="1" applyBorder="1" applyAlignment="1">
      <alignment horizontal="center" vertical="center"/>
    </xf>
    <xf numFmtId="164" fontId="30" fillId="6" borderId="3" xfId="73" applyNumberFormat="1" applyFont="1" applyFill="1" applyBorder="1" applyAlignment="1">
      <alignment horizontal="right" vertical="center"/>
    </xf>
    <xf numFmtId="0" fontId="30" fillId="6" borderId="0" xfId="0" applyFont="1" applyFill="1" applyBorder="1" applyAlignment="1">
      <alignment horizontal="center" vertical="center"/>
    </xf>
    <xf numFmtId="164" fontId="30" fillId="6" borderId="0" xfId="73" applyNumberFormat="1" applyFont="1" applyFill="1" applyBorder="1" applyAlignment="1">
      <alignment horizontal="right" vertical="center"/>
    </xf>
    <xf numFmtId="0" fontId="28" fillId="6" borderId="0" xfId="0" applyFont="1" applyFill="1" applyBorder="1" applyAlignment="1">
      <alignment horizontal="center" vertical="center"/>
    </xf>
    <xf numFmtId="164" fontId="28" fillId="6" borderId="0" xfId="73" applyNumberFormat="1" applyFont="1" applyFill="1" applyBorder="1" applyAlignment="1">
      <alignment horizontal="right" vertical="center"/>
    </xf>
    <xf numFmtId="0" fontId="30" fillId="6" borderId="0" xfId="160" applyFont="1" applyFill="1" applyBorder="1" applyAlignment="1">
      <alignment horizontal="center" vertical="center"/>
    </xf>
    <xf numFmtId="164" fontId="52" fillId="6" borderId="0" xfId="73" applyNumberFormat="1" applyFont="1" applyFill="1" applyBorder="1" applyAlignment="1">
      <alignment horizontal="right" vertical="center"/>
    </xf>
    <xf numFmtId="164" fontId="28" fillId="6" borderId="20" xfId="73" applyNumberFormat="1" applyFont="1" applyFill="1" applyBorder="1" applyAlignment="1">
      <alignment horizontal="right" vertical="center"/>
    </xf>
    <xf numFmtId="164" fontId="28" fillId="6" borderId="0" xfId="73" applyNumberFormat="1" applyFont="1" applyFill="1" applyBorder="1" applyAlignment="1">
      <alignment horizontal="right" vertical="center" wrapText="1"/>
    </xf>
    <xf numFmtId="0" fontId="8" fillId="0" borderId="0" xfId="0" applyFont="1" applyBorder="1"/>
    <xf numFmtId="0" fontId="8" fillId="0" borderId="0" xfId="0" applyFont="1" applyBorder="1" applyAlignment="1"/>
    <xf numFmtId="166" fontId="63" fillId="0" borderId="0" xfId="86" applyNumberFormat="1" applyFont="1" applyBorder="1" applyAlignment="1">
      <alignment horizontal="right"/>
    </xf>
    <xf numFmtId="0" fontId="8" fillId="0" borderId="0" xfId="0" applyFont="1" applyBorder="1" applyAlignment="1">
      <alignment horizontal="right"/>
    </xf>
    <xf numFmtId="166" fontId="63" fillId="0" borderId="0" xfId="86" applyNumberFormat="1" applyFont="1"/>
    <xf numFmtId="164" fontId="86" fillId="0" borderId="0" xfId="73" applyNumberFormat="1" applyFont="1" applyBorder="1" applyAlignment="1">
      <alignment horizontal="right"/>
    </xf>
    <xf numFmtId="164" fontId="63" fillId="0" borderId="0" xfId="73" applyNumberFormat="1" applyFont="1" applyAlignment="1"/>
    <xf numFmtId="43" fontId="63" fillId="0" borderId="0" xfId="73" applyFont="1"/>
    <xf numFmtId="0" fontId="63" fillId="0" borderId="0" xfId="0" applyFont="1" applyBorder="1"/>
    <xf numFmtId="166" fontId="63" fillId="0" borderId="0" xfId="86" applyNumberFormat="1" applyFont="1" applyBorder="1" applyAlignment="1">
      <alignment horizontal="center"/>
    </xf>
    <xf numFmtId="0" fontId="63" fillId="0" borderId="0" xfId="0" applyFont="1" applyBorder="1" applyAlignment="1">
      <alignment horizontal="right"/>
    </xf>
    <xf numFmtId="166" fontId="63" fillId="0" borderId="0" xfId="86" applyNumberFormat="1" applyFont="1" applyAlignment="1">
      <alignment horizontal="center"/>
    </xf>
    <xf numFmtId="164" fontId="63" fillId="0" borderId="0" xfId="73" applyNumberFormat="1" applyFont="1"/>
    <xf numFmtId="166" fontId="63" fillId="0" borderId="0" xfId="86" applyNumberFormat="1" applyFont="1" applyBorder="1"/>
    <xf numFmtId="164" fontId="63" fillId="0" borderId="0" xfId="73" applyNumberFormat="1" applyFont="1" applyBorder="1" applyAlignment="1"/>
    <xf numFmtId="166" fontId="8" fillId="0" borderId="0" xfId="86" applyNumberFormat="1" applyFont="1" applyBorder="1" applyAlignment="1">
      <alignment horizontal="center"/>
    </xf>
    <xf numFmtId="164" fontId="8" fillId="0" borderId="0" xfId="73" applyNumberFormat="1" applyFont="1" applyBorder="1" applyAlignment="1">
      <alignment horizontal="center"/>
    </xf>
    <xf numFmtId="164" fontId="54" fillId="0" borderId="0" xfId="73" applyNumberFormat="1" applyFont="1" applyAlignment="1"/>
    <xf numFmtId="43" fontId="54" fillId="0" borderId="0" xfId="73" applyFont="1"/>
    <xf numFmtId="0" fontId="54" fillId="0" borderId="0" xfId="0" applyFont="1"/>
    <xf numFmtId="3" fontId="54" fillId="0" borderId="0" xfId="0" applyNumberFormat="1" applyFont="1"/>
    <xf numFmtId="0" fontId="114" fillId="0" borderId="0" xfId="0" applyFont="1" applyBorder="1" applyAlignment="1">
      <alignment horizontal="center"/>
    </xf>
    <xf numFmtId="164" fontId="114" fillId="0" borderId="0" xfId="73" applyNumberFormat="1" applyFont="1" applyBorder="1" applyAlignment="1">
      <alignment horizontal="center"/>
    </xf>
    <xf numFmtId="166" fontId="86" fillId="0" borderId="7" xfId="86" applyNumberFormat="1" applyFont="1" applyBorder="1" applyAlignment="1">
      <alignment horizontal="center" vertical="center" wrapText="1"/>
    </xf>
    <xf numFmtId="166" fontId="86" fillId="0" borderId="0" xfId="86" applyNumberFormat="1" applyFont="1" applyBorder="1" applyAlignment="1">
      <alignment horizontal="center" vertical="center" wrapText="1"/>
    </xf>
    <xf numFmtId="164" fontId="86" fillId="0" borderId="0" xfId="73" applyNumberFormat="1" applyFont="1" applyBorder="1" applyAlignment="1">
      <alignment horizontal="center" vertical="center"/>
    </xf>
    <xf numFmtId="164" fontId="8" fillId="0" borderId="0" xfId="73" applyNumberFormat="1" applyFont="1" applyAlignment="1">
      <alignment horizontal="center" vertical="center"/>
    </xf>
    <xf numFmtId="43" fontId="8" fillId="0" borderId="0" xfId="73" applyFont="1" applyAlignment="1">
      <alignment horizontal="center" vertical="center" wrapText="1"/>
    </xf>
    <xf numFmtId="166" fontId="8" fillId="0" borderId="0" xfId="86" applyNumberFormat="1" applyFont="1" applyAlignment="1">
      <alignment horizontal="center" vertical="center" wrapText="1"/>
    </xf>
    <xf numFmtId="0" fontId="86" fillId="0" borderId="7" xfId="86" applyNumberFormat="1" applyFont="1" applyBorder="1" applyAlignment="1">
      <alignment horizontal="center"/>
    </xf>
    <xf numFmtId="0" fontId="86" fillId="0" borderId="0" xfId="86" applyNumberFormat="1" applyFont="1" applyBorder="1" applyAlignment="1">
      <alignment horizontal="center"/>
    </xf>
    <xf numFmtId="164" fontId="86" fillId="0" borderId="7" xfId="73" quotePrefix="1" applyNumberFormat="1" applyFont="1" applyBorder="1" applyAlignment="1">
      <alignment horizontal="center"/>
    </xf>
    <xf numFmtId="164" fontId="86" fillId="0" borderId="0" xfId="73" applyNumberFormat="1" applyFont="1" applyBorder="1" applyAlignment="1">
      <alignment horizontal="center"/>
    </xf>
    <xf numFmtId="164" fontId="86" fillId="0" borderId="0" xfId="73" applyNumberFormat="1" applyFont="1" applyAlignment="1"/>
    <xf numFmtId="43" fontId="86" fillId="0" borderId="0" xfId="73" applyFont="1"/>
    <xf numFmtId="166" fontId="86" fillId="0" borderId="0" xfId="86" applyNumberFormat="1" applyFont="1"/>
    <xf numFmtId="0" fontId="63" fillId="0" borderId="0" xfId="86" applyNumberFormat="1" applyFont="1" applyBorder="1" applyAlignment="1">
      <alignment horizontal="center"/>
    </xf>
    <xf numFmtId="164" fontId="63" fillId="0" borderId="0" xfId="73" applyNumberFormat="1" applyFont="1" applyBorder="1" applyAlignment="1">
      <alignment horizontal="center"/>
    </xf>
    <xf numFmtId="166" fontId="86" fillId="0" borderId="0" xfId="86" applyNumberFormat="1" applyFont="1" applyBorder="1" applyAlignment="1">
      <alignment horizontal="left" vertical="center"/>
    </xf>
    <xf numFmtId="166" fontId="86" fillId="0" borderId="0" xfId="86" applyNumberFormat="1" applyFont="1" applyBorder="1" applyAlignment="1">
      <alignment horizontal="left" vertical="center" wrapText="1"/>
    </xf>
    <xf numFmtId="164" fontId="63" fillId="0" borderId="0" xfId="73" applyNumberFormat="1" applyFont="1" applyBorder="1"/>
    <xf numFmtId="166" fontId="63" fillId="0" borderId="0" xfId="86" applyNumberFormat="1" applyFont="1" applyBorder="1" applyAlignment="1">
      <alignment horizontal="left" vertical="center"/>
    </xf>
    <xf numFmtId="166" fontId="63" fillId="0" borderId="0" xfId="86" applyNumberFormat="1" applyFont="1" applyBorder="1" applyAlignment="1">
      <alignment horizontal="left" vertical="center" wrapText="1"/>
    </xf>
    <xf numFmtId="166" fontId="63" fillId="0" borderId="0" xfId="86" quotePrefix="1" applyNumberFormat="1" applyFont="1" applyBorder="1" applyAlignment="1">
      <alignment horizontal="center"/>
    </xf>
    <xf numFmtId="164" fontId="63" fillId="16" borderId="0" xfId="73" applyNumberFormat="1" applyFont="1" applyFill="1" applyBorder="1" applyAlignment="1"/>
    <xf numFmtId="166" fontId="63" fillId="0" borderId="0" xfId="86" quotePrefix="1" applyNumberFormat="1" applyFont="1" applyBorder="1" applyAlignment="1">
      <alignment horizontal="left" vertical="center"/>
    </xf>
    <xf numFmtId="166" fontId="63" fillId="0" borderId="0" xfId="86" quotePrefix="1" applyNumberFormat="1" applyFont="1" applyBorder="1" applyAlignment="1">
      <alignment horizontal="left" vertical="center" wrapText="1"/>
    </xf>
    <xf numFmtId="164" fontId="63" fillId="0" borderId="0" xfId="73" applyNumberFormat="1" applyFont="1" applyBorder="1" applyAlignment="1">
      <alignment horizontal="left" vertical="center" wrapText="1"/>
    </xf>
    <xf numFmtId="164" fontId="63" fillId="17" borderId="0" xfId="73" applyNumberFormat="1" applyFont="1" applyFill="1" applyBorder="1" applyAlignment="1"/>
    <xf numFmtId="166" fontId="114" fillId="0" borderId="0" xfId="86" applyNumberFormat="1" applyFont="1" applyBorder="1" applyAlignment="1">
      <alignment horizontal="left" vertical="center"/>
    </xf>
    <xf numFmtId="166" fontId="114" fillId="0" borderId="0" xfId="86" applyNumberFormat="1" applyFont="1" applyBorder="1" applyAlignment="1">
      <alignment horizontal="left" vertical="center" wrapText="1"/>
    </xf>
    <xf numFmtId="0" fontId="114" fillId="0" borderId="0" xfId="86" applyNumberFormat="1" applyFont="1" applyBorder="1" applyAlignment="1">
      <alignment horizontal="center"/>
    </xf>
    <xf numFmtId="166" fontId="115" fillId="0" borderId="0" xfId="86" applyNumberFormat="1" applyFont="1" applyBorder="1"/>
    <xf numFmtId="164" fontId="114" fillId="0" borderId="0" xfId="73" applyNumberFormat="1" applyFont="1" applyBorder="1" applyAlignment="1"/>
    <xf numFmtId="164" fontId="114" fillId="0" borderId="0" xfId="73" applyNumberFormat="1" applyFont="1" applyAlignment="1"/>
    <xf numFmtId="43" fontId="114" fillId="0" borderId="0" xfId="73" applyFont="1"/>
    <xf numFmtId="166" fontId="114" fillId="0" borderId="0" xfId="86" applyNumberFormat="1" applyFont="1"/>
    <xf numFmtId="0" fontId="63" fillId="0" borderId="0" xfId="86" applyNumberFormat="1" applyFont="1" applyBorder="1" applyAlignment="1">
      <alignment horizontal="center" vertical="center" wrapText="1"/>
    </xf>
    <xf numFmtId="166" fontId="63" fillId="0" borderId="0" xfId="86" applyNumberFormat="1" applyFont="1" applyBorder="1" applyAlignment="1">
      <alignment horizontal="center" vertical="center" wrapText="1"/>
    </xf>
    <xf numFmtId="164" fontId="63" fillId="0" borderId="0" xfId="73" applyNumberFormat="1" applyFont="1" applyBorder="1" applyAlignment="1">
      <alignment horizontal="left" vertical="center"/>
    </xf>
    <xf numFmtId="164" fontId="63" fillId="0" borderId="0" xfId="73" applyNumberFormat="1" applyFont="1" applyAlignment="1">
      <alignment horizontal="center" vertical="center"/>
    </xf>
    <xf numFmtId="43" fontId="63" fillId="0" borderId="0" xfId="73" applyFont="1" applyAlignment="1">
      <alignment horizontal="center" vertical="center" wrapText="1"/>
    </xf>
    <xf numFmtId="166" fontId="63" fillId="0" borderId="0" xfId="86" applyNumberFormat="1" applyFont="1" applyAlignment="1">
      <alignment horizontal="center" vertical="center" wrapText="1"/>
    </xf>
    <xf numFmtId="164" fontId="63" fillId="0" borderId="0" xfId="73" applyNumberFormat="1" applyFont="1" applyFill="1" applyBorder="1" applyAlignment="1"/>
    <xf numFmtId="164" fontId="63" fillId="18" borderId="0" xfId="73" applyNumberFormat="1" applyFont="1" applyFill="1" applyBorder="1" applyAlignment="1"/>
    <xf numFmtId="164" fontId="63" fillId="19" borderId="0" xfId="73" applyNumberFormat="1" applyFont="1" applyFill="1" applyBorder="1" applyAlignment="1"/>
    <xf numFmtId="164" fontId="63" fillId="20" borderId="0" xfId="73" applyNumberFormat="1" applyFont="1" applyFill="1" applyBorder="1" applyAlignment="1"/>
    <xf numFmtId="0" fontId="115" fillId="0" borderId="0" xfId="86" applyNumberFormat="1" applyFont="1" applyBorder="1" applyAlignment="1">
      <alignment horizontal="center"/>
    </xf>
    <xf numFmtId="164" fontId="86" fillId="0" borderId="0" xfId="73" applyNumberFormat="1" applyFont="1" applyBorder="1" applyAlignment="1"/>
    <xf numFmtId="166" fontId="115" fillId="0" borderId="0" xfId="86" applyNumberFormat="1" applyFont="1" applyAlignment="1">
      <alignment horizontal="center"/>
    </xf>
    <xf numFmtId="164" fontId="115" fillId="0" borderId="0" xfId="73" applyNumberFormat="1" applyFont="1" applyAlignment="1">
      <alignment horizontal="center"/>
    </xf>
    <xf numFmtId="166" fontId="115" fillId="0" borderId="0" xfId="86" applyNumberFormat="1" applyFont="1" applyBorder="1" applyAlignment="1">
      <alignment horizontal="center"/>
    </xf>
    <xf numFmtId="164" fontId="115" fillId="0" borderId="0" xfId="73" applyNumberFormat="1" applyFont="1" applyBorder="1" applyAlignment="1">
      <alignment horizontal="center"/>
    </xf>
    <xf numFmtId="166" fontId="86" fillId="0" borderId="0" xfId="86" applyNumberFormat="1" applyFont="1" applyAlignment="1">
      <alignment horizontal="center"/>
    </xf>
    <xf numFmtId="166" fontId="86" fillId="0" borderId="0" xfId="86" applyNumberFormat="1" applyFont="1" applyBorder="1" applyAlignment="1">
      <alignment horizontal="center"/>
    </xf>
    <xf numFmtId="164" fontId="63" fillId="0" borderId="0" xfId="73" applyNumberFormat="1" applyFont="1" applyAlignment="1">
      <alignment horizontal="center"/>
    </xf>
    <xf numFmtId="166" fontId="86" fillId="0" borderId="0" xfId="86" applyNumberFormat="1" applyFont="1" applyBorder="1" applyAlignment="1"/>
    <xf numFmtId="0" fontId="7" fillId="0" borderId="0" xfId="161" applyFont="1" applyBorder="1"/>
    <xf numFmtId="0" fontId="7" fillId="0" borderId="0" xfId="161" applyFont="1" applyBorder="1" applyAlignment="1">
      <alignment horizontal="center"/>
    </xf>
    <xf numFmtId="164" fontId="7" fillId="0" borderId="0" xfId="73" applyNumberFormat="1" applyFont="1" applyBorder="1"/>
    <xf numFmtId="164" fontId="7" fillId="0" borderId="0" xfId="73" applyNumberFormat="1" applyFont="1" applyBorder="1" applyAlignment="1"/>
    <xf numFmtId="164" fontId="7" fillId="0" borderId="0" xfId="73" applyNumberFormat="1" applyFont="1" applyAlignment="1"/>
    <xf numFmtId="43" fontId="7" fillId="0" borderId="0" xfId="73" applyFont="1"/>
    <xf numFmtId="0" fontId="7" fillId="0" borderId="0" xfId="161" applyFont="1"/>
    <xf numFmtId="0" fontId="7" fillId="0" borderId="0" xfId="161" applyFont="1" applyAlignment="1">
      <alignment horizontal="center"/>
    </xf>
    <xf numFmtId="164" fontId="7" fillId="0" borderId="0" xfId="73" applyNumberFormat="1" applyFont="1"/>
    <xf numFmtId="0" fontId="86" fillId="0" borderId="7" xfId="73" quotePrefix="1" applyNumberFormat="1" applyFont="1" applyBorder="1" applyAlignment="1">
      <alignment horizontal="center"/>
    </xf>
    <xf numFmtId="164" fontId="63" fillId="0" borderId="0" xfId="73" applyNumberFormat="1" applyFont="1" applyBorder="1" applyAlignment="1">
      <alignment vertical="center"/>
    </xf>
    <xf numFmtId="164" fontId="114" fillId="0" borderId="0" xfId="73" applyNumberFormat="1" applyFont="1" applyBorder="1" applyAlignment="1">
      <alignment vertical="center"/>
    </xf>
    <xf numFmtId="164" fontId="86" fillId="0" borderId="0" xfId="73" applyNumberFormat="1" applyFont="1" applyBorder="1" applyAlignment="1">
      <alignment vertical="center"/>
    </xf>
    <xf numFmtId="164" fontId="38" fillId="0" borderId="0" xfId="73" applyNumberFormat="1" applyFont="1"/>
    <xf numFmtId="0" fontId="38" fillId="0" borderId="0" xfId="0" applyFont="1"/>
    <xf numFmtId="164" fontId="30" fillId="0" borderId="0" xfId="73" applyNumberFormat="1" applyFont="1" applyAlignment="1">
      <alignment horizontal="right"/>
    </xf>
    <xf numFmtId="164" fontId="38" fillId="0" borderId="0" xfId="73" applyNumberFormat="1" applyFont="1" applyBorder="1"/>
    <xf numFmtId="164" fontId="116" fillId="0" borderId="0" xfId="73" applyNumberFormat="1" applyFont="1" applyBorder="1"/>
    <xf numFmtId="0" fontId="1" fillId="0" borderId="0" xfId="0" applyFont="1"/>
    <xf numFmtId="164" fontId="1" fillId="0" borderId="0" xfId="73" applyNumberFormat="1" applyFont="1"/>
    <xf numFmtId="10" fontId="1" fillId="0" borderId="0" xfId="171" applyNumberFormat="1" applyFont="1"/>
    <xf numFmtId="0" fontId="1" fillId="0" borderId="0" xfId="0" applyFont="1" applyBorder="1"/>
    <xf numFmtId="164" fontId="1" fillId="0" borderId="0" xfId="73" applyNumberFormat="1" applyFont="1" applyBorder="1"/>
    <xf numFmtId="10" fontId="1" fillId="0" borderId="0" xfId="171" applyNumberFormat="1" applyFont="1" applyBorder="1"/>
    <xf numFmtId="0" fontId="51" fillId="0" borderId="0" xfId="0" applyFont="1" applyBorder="1"/>
    <xf numFmtId="164" fontId="51" fillId="0" borderId="0" xfId="73" applyNumberFormat="1" applyFont="1" applyBorder="1" applyAlignment="1">
      <alignment horizontal="center"/>
    </xf>
    <xf numFmtId="10" fontId="116" fillId="0" borderId="0" xfId="171" applyNumberFormat="1" applyFont="1" applyBorder="1"/>
    <xf numFmtId="0" fontId="116" fillId="0" borderId="0" xfId="0" applyFont="1" applyBorder="1"/>
    <xf numFmtId="0" fontId="116" fillId="0" borderId="0" xfId="0" applyFont="1"/>
    <xf numFmtId="164" fontId="116" fillId="0" borderId="0" xfId="73" applyNumberFormat="1" applyFont="1" applyBorder="1" applyAlignment="1">
      <alignment horizontal="right"/>
    </xf>
    <xf numFmtId="164" fontId="51" fillId="0" borderId="0" xfId="73" applyNumberFormat="1" applyFont="1" applyBorder="1" applyAlignment="1">
      <alignment horizontal="right"/>
    </xf>
    <xf numFmtId="0" fontId="35" fillId="0" borderId="0" xfId="0" applyFont="1" applyBorder="1" applyAlignment="1">
      <alignment horizontal="center"/>
    </xf>
    <xf numFmtId="164" fontId="35" fillId="0" borderId="0" xfId="73" applyNumberFormat="1" applyFont="1" applyBorder="1" applyAlignment="1">
      <alignment horizontal="center"/>
    </xf>
    <xf numFmtId="10" fontId="38" fillId="0" borderId="0" xfId="171" applyNumberFormat="1" applyFont="1" applyBorder="1"/>
    <xf numFmtId="0" fontId="38" fillId="0" borderId="0" xfId="0" applyFont="1" applyBorder="1"/>
    <xf numFmtId="0" fontId="35" fillId="0" borderId="0" xfId="0" applyFont="1" applyBorder="1"/>
    <xf numFmtId="164" fontId="35" fillId="0" borderId="0" xfId="73" applyNumberFormat="1" applyFont="1" applyBorder="1"/>
    <xf numFmtId="10" fontId="38" fillId="0" borderId="0" xfId="171" applyNumberFormat="1" applyFont="1"/>
    <xf numFmtId="0" fontId="28" fillId="13" borderId="2" xfId="0" applyFont="1" applyFill="1" applyBorder="1" applyAlignment="1">
      <alignment horizontal="center"/>
    </xf>
    <xf numFmtId="10" fontId="28" fillId="0" borderId="0" xfId="171" applyNumberFormat="1" applyFont="1" applyAlignment="1">
      <alignment horizontal="center"/>
    </xf>
    <xf numFmtId="0" fontId="28" fillId="6" borderId="20" xfId="0" applyFont="1" applyFill="1" applyBorder="1" applyAlignment="1">
      <alignment horizontal="center" vertical="center"/>
    </xf>
    <xf numFmtId="0" fontId="32" fillId="0" borderId="0" xfId="0" applyFont="1" applyFill="1" applyBorder="1" applyAlignment="1">
      <alignment horizontal="center" vertical="center"/>
    </xf>
    <xf numFmtId="0" fontId="31" fillId="0" borderId="0" xfId="0" applyFont="1" applyFill="1" applyBorder="1" applyAlignment="1">
      <alignment horizontal="center" vertical="center"/>
    </xf>
    <xf numFmtId="43" fontId="63" fillId="3" borderId="0" xfId="73" applyFont="1" applyFill="1" applyBorder="1"/>
    <xf numFmtId="166" fontId="63" fillId="3" borderId="0" xfId="86" applyNumberFormat="1" applyFont="1" applyFill="1" applyBorder="1"/>
    <xf numFmtId="43" fontId="114" fillId="3" borderId="0" xfId="73" applyFont="1" applyFill="1" applyBorder="1"/>
    <xf numFmtId="166" fontId="114" fillId="3" borderId="0" xfId="86" applyNumberFormat="1" applyFont="1" applyFill="1" applyBorder="1"/>
    <xf numFmtId="43" fontId="63" fillId="3" borderId="0" xfId="73" applyFont="1" applyFill="1" applyBorder="1" applyAlignment="1">
      <alignment horizontal="center" vertical="center" wrapText="1"/>
    </xf>
    <xf numFmtId="166" fontId="63" fillId="3" borderId="0" xfId="86" applyNumberFormat="1" applyFont="1" applyFill="1" applyBorder="1" applyAlignment="1">
      <alignment horizontal="center" vertical="center" wrapText="1"/>
    </xf>
    <xf numFmtId="0" fontId="1" fillId="0" borderId="0" xfId="0" applyFont="1" applyFill="1" applyBorder="1"/>
    <xf numFmtId="0" fontId="52" fillId="6" borderId="0" xfId="0" applyFont="1" applyFill="1" applyBorder="1" applyAlignment="1">
      <alignment horizontal="center" vertical="center"/>
    </xf>
    <xf numFmtId="9" fontId="38" fillId="0" borderId="0" xfId="171" applyFont="1"/>
    <xf numFmtId="10" fontId="28" fillId="0" borderId="0" xfId="171" applyNumberFormat="1" applyFont="1"/>
    <xf numFmtId="41" fontId="28" fillId="17" borderId="0" xfId="73" applyNumberFormat="1" applyFont="1" applyFill="1" applyAlignment="1">
      <alignment horizontal="center"/>
    </xf>
    <xf numFmtId="41" fontId="30" fillId="17" borderId="0" xfId="73" applyNumberFormat="1" applyFont="1" applyFill="1" applyAlignment="1">
      <alignment horizontal="center"/>
    </xf>
    <xf numFmtId="41" fontId="30" fillId="17" borderId="3" xfId="73" applyNumberFormat="1" applyFont="1" applyFill="1" applyBorder="1" applyAlignment="1">
      <alignment horizontal="right"/>
    </xf>
    <xf numFmtId="41" fontId="34" fillId="17" borderId="0" xfId="73" applyNumberFormat="1" applyFont="1" applyFill="1"/>
    <xf numFmtId="41" fontId="34" fillId="17" borderId="0" xfId="86" applyNumberFormat="1" applyFont="1" applyFill="1"/>
    <xf numFmtId="41" fontId="5" fillId="17" borderId="0" xfId="73" applyNumberFormat="1" applyFont="1" applyFill="1" applyAlignment="1">
      <alignment horizontal="center"/>
    </xf>
    <xf numFmtId="41" fontId="2" fillId="17" borderId="7" xfId="73" applyNumberFormat="1" applyFont="1" applyFill="1" applyBorder="1" applyAlignment="1">
      <alignment horizontal="center" vertical="center" wrapText="1"/>
    </xf>
    <xf numFmtId="0" fontId="2" fillId="17" borderId="7" xfId="86" applyNumberFormat="1" applyFont="1" applyFill="1" applyBorder="1" applyAlignment="1">
      <alignment horizontal="center" vertical="center" wrapText="1"/>
    </xf>
    <xf numFmtId="41" fontId="35" fillId="17" borderId="0" xfId="73" applyNumberFormat="1" applyFont="1" applyFill="1"/>
    <xf numFmtId="41" fontId="2" fillId="17" borderId="0" xfId="73" applyNumberFormat="1" applyFont="1" applyFill="1" applyAlignment="1">
      <alignment horizontal="center"/>
    </xf>
    <xf numFmtId="41" fontId="2" fillId="17" borderId="0" xfId="73" applyNumberFormat="1" applyFont="1" applyFill="1"/>
    <xf numFmtId="41" fontId="2" fillId="17" borderId="0" xfId="73" applyNumberFormat="1" applyFont="1" applyFill="1" applyAlignment="1"/>
    <xf numFmtId="41" fontId="3" fillId="17" borderId="0" xfId="73" applyNumberFormat="1" applyFont="1" applyFill="1" applyAlignment="1">
      <alignment horizontal="center"/>
    </xf>
    <xf numFmtId="41" fontId="34" fillId="17" borderId="0" xfId="73" applyNumberFormat="1" applyFont="1" applyFill="1" applyAlignment="1">
      <alignment horizontal="center"/>
    </xf>
    <xf numFmtId="41" fontId="30" fillId="18" borderId="0" xfId="86" applyNumberFormat="1" applyFont="1" applyFill="1"/>
    <xf numFmtId="41" fontId="34" fillId="18" borderId="0" xfId="86" applyNumberFormat="1" applyFont="1" applyFill="1"/>
    <xf numFmtId="41" fontId="2" fillId="18" borderId="0" xfId="86" applyNumberFormat="1" applyFont="1" applyFill="1" applyAlignment="1">
      <alignment horizontal="center" vertical="center" wrapText="1"/>
    </xf>
    <xf numFmtId="41" fontId="35" fillId="18" borderId="0" xfId="86" applyNumberFormat="1" applyFont="1" applyFill="1"/>
    <xf numFmtId="41" fontId="2" fillId="18" borderId="0" xfId="86" applyNumberFormat="1" applyFont="1" applyFill="1"/>
    <xf numFmtId="41" fontId="3" fillId="18" borderId="0" xfId="86" applyNumberFormat="1" applyFont="1" applyFill="1"/>
    <xf numFmtId="41" fontId="30" fillId="4" borderId="0" xfId="86" applyNumberFormat="1" applyFont="1" applyFill="1"/>
    <xf numFmtId="41" fontId="34" fillId="4" borderId="0" xfId="86" applyNumberFormat="1" applyFont="1" applyFill="1"/>
    <xf numFmtId="41" fontId="2" fillId="4" borderId="0" xfId="86" applyNumberFormat="1" applyFont="1" applyFill="1" applyAlignment="1">
      <alignment horizontal="center" vertical="center" wrapText="1"/>
    </xf>
    <xf numFmtId="41" fontId="2" fillId="4" borderId="0" xfId="86" applyNumberFormat="1" applyFont="1" applyFill="1"/>
    <xf numFmtId="41" fontId="3" fillId="4" borderId="0" xfId="86" applyNumberFormat="1" applyFont="1" applyFill="1"/>
    <xf numFmtId="41" fontId="35" fillId="4" borderId="0" xfId="86" applyNumberFormat="1" applyFont="1" applyFill="1"/>
    <xf numFmtId="41" fontId="30" fillId="21" borderId="0" xfId="86" applyNumberFormat="1" applyFont="1" applyFill="1"/>
    <xf numFmtId="41" fontId="34" fillId="21" borderId="0" xfId="86" applyNumberFormat="1" applyFont="1" applyFill="1"/>
    <xf numFmtId="41" fontId="2" fillId="21" borderId="0" xfId="86" applyNumberFormat="1" applyFont="1" applyFill="1" applyAlignment="1">
      <alignment horizontal="center" vertical="center" wrapText="1"/>
    </xf>
    <xf numFmtId="41" fontId="2" fillId="21" borderId="0" xfId="86" applyNumberFormat="1" applyFont="1" applyFill="1"/>
    <xf numFmtId="41" fontId="3" fillId="21" borderId="0" xfId="86" applyNumberFormat="1" applyFont="1" applyFill="1"/>
    <xf numFmtId="41" fontId="35" fillId="21" borderId="0" xfId="86" applyNumberFormat="1" applyFont="1" applyFill="1"/>
    <xf numFmtId="41" fontId="30" fillId="2" borderId="0" xfId="86" applyNumberFormat="1" applyFont="1" applyFill="1"/>
    <xf numFmtId="41" fontId="34" fillId="2" borderId="0" xfId="86" applyNumberFormat="1" applyFont="1" applyFill="1"/>
    <xf numFmtId="41" fontId="2" fillId="2" borderId="0" xfId="86" applyNumberFormat="1" applyFont="1" applyFill="1" applyAlignment="1">
      <alignment horizontal="center" vertical="center" wrapText="1"/>
    </xf>
    <xf numFmtId="41" fontId="2" fillId="2" borderId="0" xfId="86" applyNumberFormat="1" applyFont="1" applyFill="1"/>
    <xf numFmtId="41" fontId="3" fillId="2" borderId="0" xfId="86" applyNumberFormat="1" applyFont="1" applyFill="1"/>
    <xf numFmtId="41" fontId="35" fillId="2" borderId="0" xfId="86" applyNumberFormat="1" applyFont="1" applyFill="1"/>
    <xf numFmtId="41" fontId="30" fillId="13" borderId="0" xfId="86" applyNumberFormat="1" applyFont="1" applyFill="1"/>
    <xf numFmtId="41" fontId="34" fillId="13" borderId="0" xfId="86" applyNumberFormat="1" applyFont="1" applyFill="1"/>
    <xf numFmtId="41" fontId="2" fillId="13" borderId="0" xfId="86" applyNumberFormat="1" applyFont="1" applyFill="1" applyAlignment="1">
      <alignment horizontal="center" vertical="center" wrapText="1"/>
    </xf>
    <xf numFmtId="41" fontId="2" fillId="13" borderId="0" xfId="86" applyNumberFormat="1" applyFont="1" applyFill="1"/>
    <xf numFmtId="41" fontId="3" fillId="13" borderId="0" xfId="86" applyNumberFormat="1" applyFont="1" applyFill="1"/>
    <xf numFmtId="41" fontId="35" fillId="13" borderId="0" xfId="86" applyNumberFormat="1" applyFont="1" applyFill="1"/>
    <xf numFmtId="41" fontId="30" fillId="22" borderId="0" xfId="86" applyNumberFormat="1" applyFont="1" applyFill="1"/>
    <xf numFmtId="41" fontId="34" fillId="22" borderId="0" xfId="86" applyNumberFormat="1" applyFont="1" applyFill="1"/>
    <xf numFmtId="41" fontId="2" fillId="22" borderId="0" xfId="86" applyNumberFormat="1" applyFont="1" applyFill="1" applyAlignment="1">
      <alignment horizontal="center" vertical="center" wrapText="1"/>
    </xf>
    <xf numFmtId="41" fontId="2" fillId="22" borderId="0" xfId="86" applyNumberFormat="1" applyFont="1" applyFill="1"/>
    <xf numFmtId="41" fontId="3" fillId="22" borderId="0" xfId="86" applyNumberFormat="1" applyFont="1" applyFill="1"/>
    <xf numFmtId="41" fontId="35" fillId="22" borderId="0" xfId="86" applyNumberFormat="1" applyFont="1" applyFill="1"/>
    <xf numFmtId="0" fontId="2" fillId="18" borderId="0" xfId="86" applyNumberFormat="1" applyFont="1" applyFill="1" applyAlignment="1">
      <alignment horizontal="center" vertical="center" wrapText="1"/>
    </xf>
    <xf numFmtId="0" fontId="2" fillId="4" borderId="0" xfId="86" applyNumberFormat="1" applyFont="1" applyFill="1" applyAlignment="1">
      <alignment horizontal="center" vertical="center" wrapText="1"/>
    </xf>
    <xf numFmtId="0" fontId="2" fillId="21" borderId="0" xfId="86" applyNumberFormat="1" applyFont="1" applyFill="1" applyAlignment="1">
      <alignment horizontal="center" vertical="center" wrapText="1"/>
    </xf>
    <xf numFmtId="0" fontId="2" fillId="2" borderId="0" xfId="86" applyNumberFormat="1" applyFont="1" applyFill="1" applyAlignment="1">
      <alignment horizontal="center" vertical="center" wrapText="1"/>
    </xf>
    <xf numFmtId="0" fontId="2" fillId="13" borderId="0" xfId="86" applyNumberFormat="1" applyFont="1" applyFill="1" applyAlignment="1">
      <alignment horizontal="center" vertical="center" wrapText="1"/>
    </xf>
    <xf numFmtId="0" fontId="2" fillId="22" borderId="0" xfId="86" applyNumberFormat="1" applyFont="1" applyFill="1" applyAlignment="1">
      <alignment horizontal="center" vertical="center" wrapText="1"/>
    </xf>
    <xf numFmtId="164" fontId="63" fillId="0" borderId="0" xfId="73" applyNumberFormat="1" applyFont="1" applyFill="1"/>
    <xf numFmtId="49" fontId="28" fillId="0" borderId="12" xfId="0" applyNumberFormat="1" applyFont="1" applyFill="1" applyBorder="1" applyAlignment="1">
      <alignment horizontal="center"/>
    </xf>
    <xf numFmtId="14" fontId="28" fillId="0" borderId="12" xfId="0" applyNumberFormat="1" applyFont="1" applyFill="1" applyBorder="1" applyAlignment="1">
      <alignment horizontal="center"/>
    </xf>
    <xf numFmtId="37" fontId="28" fillId="0" borderId="12" xfId="73" applyNumberFormat="1" applyFont="1" applyFill="1" applyBorder="1" applyAlignment="1">
      <alignment wrapText="1"/>
    </xf>
    <xf numFmtId="164" fontId="28" fillId="0" borderId="18" xfId="73" applyNumberFormat="1" applyFont="1" applyFill="1" applyBorder="1" applyAlignment="1">
      <alignment wrapText="1"/>
    </xf>
    <xf numFmtId="0" fontId="28" fillId="0" borderId="0" xfId="0" applyFont="1" applyFill="1" applyBorder="1"/>
    <xf numFmtId="49" fontId="63" fillId="0" borderId="12" xfId="0" applyNumberFormat="1" applyFont="1" applyFill="1" applyBorder="1" applyAlignment="1">
      <alignment horizontal="center"/>
    </xf>
    <xf numFmtId="49" fontId="63" fillId="0" borderId="18" xfId="0" applyNumberFormat="1" applyFont="1" applyFill="1" applyBorder="1" applyAlignment="1">
      <alignment horizontal="center"/>
    </xf>
    <xf numFmtId="0" fontId="63" fillId="0" borderId="18" xfId="0" applyFont="1" applyFill="1" applyBorder="1" applyAlignment="1">
      <alignment wrapText="1"/>
    </xf>
    <xf numFmtId="0" fontId="63" fillId="0" borderId="18" xfId="0" applyFont="1" applyFill="1" applyBorder="1" applyAlignment="1">
      <alignment horizontal="center"/>
    </xf>
    <xf numFmtId="0" fontId="63" fillId="0" borderId="0" xfId="0" applyFont="1" applyFill="1" applyBorder="1"/>
    <xf numFmtId="14" fontId="63" fillId="0" borderId="9" xfId="0" applyNumberFormat="1" applyFont="1" applyFill="1" applyBorder="1" applyAlignment="1">
      <alignment horizontal="center"/>
    </xf>
    <xf numFmtId="1" fontId="63" fillId="0" borderId="18" xfId="0" applyNumberFormat="1" applyFont="1" applyFill="1" applyBorder="1" applyAlignment="1">
      <alignment horizontal="center"/>
    </xf>
    <xf numFmtId="37" fontId="63" fillId="0" borderId="9" xfId="73" applyNumberFormat="1" applyFont="1" applyFill="1" applyBorder="1"/>
    <xf numFmtId="164" fontId="63" fillId="0" borderId="0" xfId="73" applyNumberFormat="1" applyFont="1" applyFill="1" applyBorder="1"/>
    <xf numFmtId="49" fontId="63" fillId="0" borderId="15" xfId="0" applyNumberFormat="1" applyFont="1" applyFill="1" applyBorder="1" applyAlignment="1">
      <alignment horizontal="center"/>
    </xf>
    <xf numFmtId="49" fontId="63" fillId="0" borderId="21" xfId="0" applyNumberFormat="1" applyFont="1" applyFill="1" applyBorder="1" applyAlignment="1">
      <alignment horizontal="center"/>
    </xf>
    <xf numFmtId="14" fontId="63" fillId="0" borderId="21" xfId="0" applyNumberFormat="1" applyFont="1" applyFill="1" applyBorder="1" applyAlignment="1">
      <alignment horizontal="center"/>
    </xf>
    <xf numFmtId="0" fontId="63" fillId="0" borderId="21" xfId="0" applyFont="1" applyFill="1" applyBorder="1" applyAlignment="1">
      <alignment wrapText="1"/>
    </xf>
    <xf numFmtId="0" fontId="63" fillId="0" borderId="21" xfId="0" applyFont="1" applyFill="1" applyBorder="1" applyAlignment="1">
      <alignment horizontal="center"/>
    </xf>
    <xf numFmtId="0" fontId="63" fillId="0" borderId="21" xfId="0" applyFont="1" applyFill="1" applyBorder="1" applyAlignment="1">
      <alignment horizontal="right"/>
    </xf>
    <xf numFmtId="164" fontId="63" fillId="0" borderId="21" xfId="73" applyNumberFormat="1" applyFont="1" applyFill="1" applyBorder="1"/>
    <xf numFmtId="43" fontId="63" fillId="0" borderId="21" xfId="73" applyFont="1" applyFill="1" applyBorder="1" applyAlignment="1">
      <alignment wrapText="1"/>
    </xf>
    <xf numFmtId="164" fontId="32" fillId="0" borderId="0" xfId="73" applyNumberFormat="1" applyFont="1" applyFill="1" applyBorder="1" applyAlignment="1">
      <alignment horizontal="center" vertical="center"/>
    </xf>
    <xf numFmtId="164" fontId="31" fillId="0" borderId="0" xfId="73" applyNumberFormat="1" applyFont="1" applyFill="1" applyBorder="1" applyAlignment="1">
      <alignment horizontal="center" vertical="center"/>
    </xf>
    <xf numFmtId="164" fontId="28" fillId="0" borderId="0" xfId="73" applyNumberFormat="1" applyFont="1" applyFill="1" applyBorder="1"/>
    <xf numFmtId="0" fontId="11" fillId="0" borderId="0" xfId="134" applyAlignment="1" applyProtection="1"/>
    <xf numFmtId="0" fontId="120" fillId="0" borderId="0" xfId="0" applyFont="1" applyAlignment="1">
      <alignment horizontal="center"/>
    </xf>
    <xf numFmtId="164" fontId="120" fillId="0" borderId="0" xfId="73" applyNumberFormat="1" applyFont="1" applyAlignment="1"/>
    <xf numFmtId="164" fontId="119" fillId="0" borderId="0" xfId="73" applyNumberFormat="1" applyFont="1" applyAlignment="1"/>
    <xf numFmtId="164" fontId="122" fillId="17" borderId="0" xfId="73" applyNumberFormat="1" applyFont="1" applyFill="1" applyAlignment="1"/>
    <xf numFmtId="0" fontId="120" fillId="0" borderId="0" xfId="0" applyFont="1"/>
    <xf numFmtId="164" fontId="120" fillId="0" borderId="0" xfId="73" applyNumberFormat="1" applyFont="1"/>
    <xf numFmtId="164" fontId="122" fillId="0" borderId="0" xfId="0" applyNumberFormat="1" applyFont="1" applyAlignment="1"/>
    <xf numFmtId="0" fontId="122" fillId="0" borderId="0" xfId="0" applyFont="1" applyAlignment="1">
      <alignment horizontal="center"/>
    </xf>
    <xf numFmtId="164" fontId="122" fillId="0" borderId="0" xfId="73" applyNumberFormat="1" applyFont="1" applyAlignment="1"/>
    <xf numFmtId="164" fontId="122" fillId="0" borderId="0" xfId="73" applyNumberFormat="1" applyFont="1" applyAlignment="1">
      <alignment horizontal="right"/>
    </xf>
    <xf numFmtId="0" fontId="122" fillId="0" borderId="0" xfId="0" applyFont="1"/>
    <xf numFmtId="164" fontId="122" fillId="0" borderId="0" xfId="73" applyNumberFormat="1" applyFont="1"/>
    <xf numFmtId="164" fontId="122" fillId="0" borderId="3" xfId="0" applyNumberFormat="1" applyFont="1" applyBorder="1" applyAlignment="1"/>
    <xf numFmtId="0" fontId="120" fillId="0" borderId="3" xfId="0" applyFont="1" applyBorder="1" applyAlignment="1">
      <alignment horizontal="center"/>
    </xf>
    <xf numFmtId="164" fontId="120" fillId="0" borderId="3" xfId="73" applyNumberFormat="1" applyFont="1" applyBorder="1" applyAlignment="1"/>
    <xf numFmtId="164" fontId="120" fillId="0" borderId="3" xfId="73" applyNumberFormat="1" applyFont="1" applyBorder="1" applyAlignment="1">
      <alignment horizontal="right"/>
    </xf>
    <xf numFmtId="164" fontId="122" fillId="0" borderId="3" xfId="73" applyNumberFormat="1" applyFont="1" applyBorder="1" applyAlignment="1"/>
    <xf numFmtId="49" fontId="120" fillId="0" borderId="0" xfId="0" applyNumberFormat="1" applyFont="1" applyAlignment="1"/>
    <xf numFmtId="0" fontId="120" fillId="0" borderId="0" xfId="0" applyFont="1" applyAlignment="1"/>
    <xf numFmtId="164" fontId="120" fillId="0" borderId="0" xfId="73" applyNumberFormat="1" applyFont="1" applyAlignment="1">
      <alignment horizontal="center"/>
    </xf>
    <xf numFmtId="0" fontId="119" fillId="0" borderId="0" xfId="0" applyFont="1" applyAlignment="1">
      <alignment horizontal="center"/>
    </xf>
    <xf numFmtId="0" fontId="123" fillId="0" borderId="0" xfId="0" applyFont="1" applyAlignment="1">
      <alignment horizontal="center"/>
    </xf>
    <xf numFmtId="164" fontId="124" fillId="0" borderId="0" xfId="73" applyNumberFormat="1" applyFont="1" applyAlignment="1"/>
    <xf numFmtId="164" fontId="123" fillId="0" borderId="0" xfId="73" applyNumberFormat="1" applyFont="1" applyAlignment="1">
      <alignment horizontal="right"/>
    </xf>
    <xf numFmtId="49" fontId="119" fillId="15" borderId="7" xfId="0" applyNumberFormat="1" applyFont="1" applyFill="1" applyBorder="1" applyAlignment="1">
      <alignment horizontal="centerContinuous" vertical="center" wrapText="1"/>
    </xf>
    <xf numFmtId="0" fontId="119" fillId="15" borderId="0" xfId="0" applyFont="1" applyFill="1" applyBorder="1" applyAlignment="1">
      <alignment horizontal="centerContinuous" vertical="center" wrapText="1"/>
    </xf>
    <xf numFmtId="0" fontId="125" fillId="15" borderId="7" xfId="0" applyFont="1" applyFill="1" applyBorder="1" applyAlignment="1">
      <alignment horizontal="center" vertical="center" wrapText="1"/>
    </xf>
    <xf numFmtId="0" fontId="125" fillId="15" borderId="0" xfId="0" applyFont="1" applyFill="1" applyBorder="1" applyAlignment="1">
      <alignment horizontal="center" vertical="center" wrapText="1"/>
    </xf>
    <xf numFmtId="164" fontId="125" fillId="15" borderId="7" xfId="73" applyNumberFormat="1" applyFont="1" applyFill="1" applyBorder="1" applyAlignment="1">
      <alignment horizontal="center" vertical="center" wrapText="1"/>
    </xf>
    <xf numFmtId="164" fontId="125" fillId="15" borderId="0" xfId="73" applyNumberFormat="1" applyFont="1" applyFill="1" applyBorder="1" applyAlignment="1">
      <alignment horizontal="center" vertical="center" wrapText="1"/>
    </xf>
    <xf numFmtId="164" fontId="125" fillId="15" borderId="7" xfId="73" applyNumberFormat="1" applyFont="1" applyFill="1" applyBorder="1" applyAlignment="1">
      <alignment horizontal="centerContinuous" vertical="center" wrapText="1"/>
    </xf>
    <xf numFmtId="49" fontId="125" fillId="15" borderId="7" xfId="73" applyNumberFormat="1" applyFont="1" applyFill="1" applyBorder="1" applyAlignment="1">
      <alignment horizontal="center" vertical="center" wrapText="1"/>
    </xf>
    <xf numFmtId="49" fontId="119" fillId="15" borderId="0" xfId="73" applyNumberFormat="1" applyFont="1" applyFill="1" applyBorder="1" applyAlignment="1">
      <alignment horizontal="centerContinuous" vertical="center" wrapText="1"/>
    </xf>
    <xf numFmtId="49" fontId="121" fillId="15" borderId="7" xfId="73" applyNumberFormat="1" applyFont="1" applyFill="1" applyBorder="1" applyAlignment="1">
      <alignment horizontal="center" vertical="center" wrapText="1"/>
    </xf>
    <xf numFmtId="164" fontId="121" fillId="17" borderId="0" xfId="73" applyNumberFormat="1" applyFont="1" applyFill="1" applyAlignment="1">
      <alignment horizontal="centerContinuous" vertical="center" wrapText="1"/>
    </xf>
    <xf numFmtId="0" fontId="125" fillId="0" borderId="0" xfId="0" applyFont="1" applyAlignment="1">
      <alignment horizontal="center" vertical="center" wrapText="1"/>
    </xf>
    <xf numFmtId="0" fontId="121" fillId="18" borderId="0" xfId="86" applyNumberFormat="1" applyFont="1" applyFill="1" applyAlignment="1">
      <alignment horizontal="center" vertical="center" wrapText="1"/>
    </xf>
    <xf numFmtId="0" fontId="121" fillId="4" borderId="0" xfId="86" applyNumberFormat="1" applyFont="1" applyFill="1" applyAlignment="1">
      <alignment horizontal="center" vertical="center" wrapText="1"/>
    </xf>
    <xf numFmtId="0" fontId="121" fillId="21" borderId="0" xfId="86" applyNumberFormat="1" applyFont="1" applyFill="1" applyAlignment="1">
      <alignment horizontal="center" vertical="center" wrapText="1"/>
    </xf>
    <xf numFmtId="0" fontId="121" fillId="2" borderId="0" xfId="86" applyNumberFormat="1" applyFont="1" applyFill="1" applyAlignment="1">
      <alignment horizontal="center" vertical="center" wrapText="1"/>
    </xf>
    <xf numFmtId="0" fontId="121" fillId="13" borderId="0" xfId="86" applyNumberFormat="1" applyFont="1" applyFill="1" applyAlignment="1">
      <alignment horizontal="center" vertical="center" wrapText="1"/>
    </xf>
    <xf numFmtId="0" fontId="121" fillId="22" borderId="0" xfId="86" applyNumberFormat="1" applyFont="1" applyFill="1" applyAlignment="1">
      <alignment horizontal="center" vertical="center" wrapText="1"/>
    </xf>
    <xf numFmtId="164" fontId="125" fillId="0" borderId="0" xfId="73" applyNumberFormat="1" applyFont="1" applyAlignment="1">
      <alignment horizontal="center" vertical="center" wrapText="1"/>
    </xf>
    <xf numFmtId="49" fontId="121" fillId="0" borderId="7" xfId="0" applyNumberFormat="1" applyFont="1" applyBorder="1" applyAlignment="1">
      <alignment horizontal="center"/>
    </xf>
    <xf numFmtId="0" fontId="121" fillId="0" borderId="0" xfId="0" applyFont="1" applyBorder="1" applyAlignment="1">
      <alignment horizontal="center"/>
    </xf>
    <xf numFmtId="0" fontId="121" fillId="0" borderId="7" xfId="0" applyFont="1" applyBorder="1" applyAlignment="1">
      <alignment horizontal="center"/>
    </xf>
    <xf numFmtId="49" fontId="121" fillId="0" borderId="0" xfId="0" applyNumberFormat="1" applyFont="1" applyBorder="1" applyAlignment="1">
      <alignment horizontal="center"/>
    </xf>
    <xf numFmtId="49" fontId="126" fillId="0" borderId="7" xfId="0" applyNumberFormat="1" applyFont="1" applyBorder="1" applyAlignment="1">
      <alignment horizontal="center"/>
    </xf>
    <xf numFmtId="49" fontId="121" fillId="0" borderId="0" xfId="73" applyNumberFormat="1" applyFont="1" applyBorder="1" applyAlignment="1">
      <alignment horizontal="center"/>
    </xf>
    <xf numFmtId="49" fontId="121" fillId="0" borderId="7" xfId="73" applyNumberFormat="1" applyFont="1" applyBorder="1" applyAlignment="1">
      <alignment horizontal="center"/>
    </xf>
    <xf numFmtId="164" fontId="121" fillId="17" borderId="0" xfId="73" applyNumberFormat="1" applyFont="1" applyFill="1" applyAlignment="1"/>
    <xf numFmtId="0" fontId="121" fillId="0" borderId="0" xfId="0" applyFont="1"/>
    <xf numFmtId="164" fontId="121" fillId="0" borderId="0" xfId="73" applyNumberFormat="1" applyFont="1"/>
    <xf numFmtId="49" fontId="119" fillId="0" borderId="0" xfId="0" applyNumberFormat="1" applyFont="1" applyFill="1" applyBorder="1" applyAlignment="1"/>
    <xf numFmtId="0" fontId="119" fillId="0" borderId="0" xfId="0" applyFont="1" applyFill="1" applyBorder="1" applyAlignment="1"/>
    <xf numFmtId="0" fontId="119" fillId="0" borderId="0" xfId="0" applyFont="1" applyFill="1" applyBorder="1" applyAlignment="1">
      <alignment horizontal="center"/>
    </xf>
    <xf numFmtId="164" fontId="119" fillId="0" borderId="0" xfId="73" applyNumberFormat="1" applyFont="1" applyFill="1" applyBorder="1" applyAlignment="1"/>
    <xf numFmtId="0" fontId="119" fillId="0" borderId="0" xfId="0" applyFont="1" applyFill="1"/>
    <xf numFmtId="164" fontId="119" fillId="0" borderId="0" xfId="73" applyNumberFormat="1" applyFont="1" applyFill="1"/>
    <xf numFmtId="164" fontId="127" fillId="0" borderId="0" xfId="73" applyNumberFormat="1" applyFont="1" applyFill="1"/>
    <xf numFmtId="49" fontId="121" fillId="0" borderId="0" xfId="0" applyNumberFormat="1" applyFont="1" applyFill="1" applyBorder="1" applyAlignment="1"/>
    <xf numFmtId="0" fontId="121" fillId="0" borderId="0" xfId="0" applyFont="1" applyFill="1" applyBorder="1" applyAlignment="1"/>
    <xf numFmtId="0" fontId="121" fillId="0" borderId="0" xfId="0" applyFont="1" applyFill="1" applyBorder="1" applyAlignment="1">
      <alignment horizontal="center"/>
    </xf>
    <xf numFmtId="164" fontId="121" fillId="0" borderId="0" xfId="73" applyNumberFormat="1" applyFont="1" applyFill="1" applyBorder="1" applyAlignment="1"/>
    <xf numFmtId="0" fontId="121" fillId="0" borderId="0" xfId="0" applyFont="1" applyFill="1"/>
    <xf numFmtId="164" fontId="121" fillId="0" borderId="0" xfId="73" applyNumberFormat="1" applyFont="1" applyFill="1"/>
    <xf numFmtId="49" fontId="120" fillId="0" borderId="0" xfId="0" applyNumberFormat="1" applyFont="1" applyFill="1" applyBorder="1" applyAlignment="1"/>
    <xf numFmtId="0" fontId="120" fillId="0" borderId="0" xfId="0" applyFont="1" applyFill="1" applyBorder="1" applyAlignment="1"/>
    <xf numFmtId="0" fontId="120" fillId="0" borderId="0" xfId="0" applyFont="1" applyFill="1" applyBorder="1" applyAlignment="1">
      <alignment horizontal="center"/>
    </xf>
    <xf numFmtId="0" fontId="121" fillId="0" borderId="0" xfId="0" applyFont="1" applyFill="1" applyAlignment="1">
      <alignment horizontal="center"/>
    </xf>
    <xf numFmtId="164" fontId="120" fillId="0" borderId="0" xfId="73" applyNumberFormat="1" applyFont="1" applyFill="1" applyBorder="1"/>
    <xf numFmtId="164" fontId="120" fillId="0" borderId="0" xfId="73" applyNumberFormat="1" applyFont="1" applyFill="1" applyBorder="1" applyAlignment="1"/>
    <xf numFmtId="0" fontId="120" fillId="0" borderId="0" xfId="0" applyFont="1" applyFill="1"/>
    <xf numFmtId="164" fontId="120" fillId="0" borderId="0" xfId="73" applyNumberFormat="1" applyFont="1" applyFill="1"/>
    <xf numFmtId="0" fontId="120" fillId="0" borderId="0" xfId="0" quotePrefix="1" applyFont="1" applyFill="1" applyBorder="1" applyAlignment="1"/>
    <xf numFmtId="164" fontId="127" fillId="17" borderId="0" xfId="73" applyNumberFormat="1" applyFont="1" applyFill="1"/>
    <xf numFmtId="164" fontId="120" fillId="0" borderId="0" xfId="73" quotePrefix="1" applyNumberFormat="1" applyFont="1" applyFill="1"/>
    <xf numFmtId="49" fontId="120" fillId="0" borderId="0" xfId="0" quotePrefix="1" applyNumberFormat="1" applyFont="1" applyFill="1" applyBorder="1" applyAlignment="1"/>
    <xf numFmtId="0" fontId="125" fillId="0" borderId="0" xfId="0" applyFont="1" applyFill="1" applyBorder="1" applyAlignment="1">
      <alignment horizontal="center"/>
    </xf>
    <xf numFmtId="164" fontId="125" fillId="17" borderId="0" xfId="73" applyNumberFormat="1" applyFont="1" applyFill="1" applyAlignment="1"/>
    <xf numFmtId="164" fontId="121" fillId="0" borderId="0" xfId="73" applyNumberFormat="1" applyFont="1" applyFill="1" applyBorder="1" applyAlignment="1">
      <alignment horizontal="right"/>
    </xf>
    <xf numFmtId="49" fontId="122" fillId="0" borderId="0" xfId="0" applyNumberFormat="1" applyFont="1" applyFill="1" applyBorder="1" applyAlignment="1"/>
    <xf numFmtId="0" fontId="122" fillId="0" borderId="0" xfId="0" applyFont="1" applyFill="1" applyBorder="1" applyAlignment="1"/>
    <xf numFmtId="0" fontId="122" fillId="0" borderId="0" xfId="0" applyFont="1" applyFill="1" applyBorder="1" applyAlignment="1">
      <alignment horizontal="center"/>
    </xf>
    <xf numFmtId="164" fontId="122" fillId="0" borderId="0" xfId="73" applyNumberFormat="1" applyFont="1" applyFill="1" applyBorder="1" applyAlignment="1"/>
    <xf numFmtId="0" fontId="122" fillId="0" borderId="0" xfId="0" applyFont="1" applyFill="1"/>
    <xf numFmtId="164" fontId="122" fillId="0" borderId="0" xfId="73" applyNumberFormat="1" applyFont="1" applyFill="1"/>
    <xf numFmtId="49" fontId="123" fillId="0" borderId="0" xfId="0" applyNumberFormat="1" applyFont="1" applyFill="1" applyBorder="1" applyAlignment="1"/>
    <xf numFmtId="0" fontId="123" fillId="0" borderId="0" xfId="0" applyFont="1" applyFill="1" applyBorder="1" applyAlignment="1"/>
    <xf numFmtId="0" fontId="123" fillId="0" borderId="0" xfId="0" applyFont="1" applyFill="1" applyBorder="1" applyAlignment="1">
      <alignment horizontal="center"/>
    </xf>
    <xf numFmtId="0" fontId="124" fillId="0" borderId="0" xfId="0" applyFont="1" applyFill="1" applyBorder="1" applyAlignment="1">
      <alignment horizontal="center"/>
    </xf>
    <xf numFmtId="164" fontId="123" fillId="0" borderId="0" xfId="73" applyNumberFormat="1" applyFont="1" applyFill="1" applyBorder="1" applyAlignment="1"/>
    <xf numFmtId="0" fontId="123" fillId="0" borderId="0" xfId="0" applyFont="1" applyFill="1"/>
    <xf numFmtId="164" fontId="123" fillId="0" borderId="0" xfId="73" applyNumberFormat="1" applyFont="1" applyFill="1"/>
    <xf numFmtId="49" fontId="121" fillId="0" borderId="0" xfId="0" quotePrefix="1" applyNumberFormat="1" applyFont="1" applyFill="1" applyBorder="1" applyAlignment="1"/>
    <xf numFmtId="164" fontId="120" fillId="0" borderId="0" xfId="73" quotePrefix="1" applyNumberFormat="1" applyFont="1" applyFill="1" applyBorder="1" applyAlignment="1"/>
    <xf numFmtId="0" fontId="120" fillId="0" borderId="0" xfId="0" applyFont="1" applyBorder="1" applyAlignment="1"/>
    <xf numFmtId="0" fontId="120" fillId="0" borderId="0" xfId="0" applyFont="1" applyBorder="1" applyAlignment="1">
      <alignment horizontal="center"/>
    </xf>
    <xf numFmtId="164" fontId="120" fillId="0" borderId="0" xfId="73" applyNumberFormat="1" applyFont="1" applyBorder="1" applyAlignment="1"/>
    <xf numFmtId="175" fontId="119" fillId="15" borderId="0" xfId="73" applyNumberFormat="1" applyFont="1" applyFill="1" applyBorder="1" applyAlignment="1">
      <alignment vertical="center"/>
    </xf>
    <xf numFmtId="164" fontId="119" fillId="15" borderId="7" xfId="73" applyNumberFormat="1" applyFont="1" applyFill="1" applyBorder="1" applyAlignment="1">
      <alignment vertical="center"/>
    </xf>
    <xf numFmtId="164" fontId="119" fillId="15" borderId="0" xfId="73" applyNumberFormat="1" applyFont="1" applyFill="1" applyBorder="1" applyAlignment="1">
      <alignment vertical="center"/>
    </xf>
    <xf numFmtId="164" fontId="119" fillId="15" borderId="0" xfId="73" applyNumberFormat="1" applyFont="1" applyFill="1" applyBorder="1" applyAlignment="1">
      <alignment horizontal="centerContinuous" vertical="center" wrapText="1"/>
    </xf>
    <xf numFmtId="0" fontId="125" fillId="0" borderId="0" xfId="0" applyFont="1" applyAlignment="1">
      <alignment horizontal="centerContinuous" vertical="center" wrapText="1"/>
    </xf>
    <xf numFmtId="164" fontId="125" fillId="0" borderId="0" xfId="73" applyNumberFormat="1" applyFont="1" applyAlignment="1">
      <alignment horizontal="left" vertical="center" wrapText="1"/>
    </xf>
    <xf numFmtId="0" fontId="125" fillId="0" borderId="0" xfId="0" applyFont="1" applyAlignment="1">
      <alignment horizontal="left" vertical="center" wrapText="1"/>
    </xf>
    <xf numFmtId="0" fontId="119" fillId="0" borderId="0" xfId="0" applyFont="1"/>
    <xf numFmtId="164" fontId="119" fillId="0" borderId="0" xfId="73" applyNumberFormat="1" applyFont="1"/>
    <xf numFmtId="49" fontId="119" fillId="0" borderId="0" xfId="0" applyNumberFormat="1" applyFont="1" applyAlignment="1"/>
    <xf numFmtId="0" fontId="119" fillId="0" borderId="0" xfId="0" applyFont="1" applyAlignment="1"/>
    <xf numFmtId="0" fontId="119" fillId="15" borderId="7" xfId="0" applyFont="1" applyFill="1" applyBorder="1" applyAlignment="1">
      <alignment horizontal="centerContinuous" vertical="center" wrapText="1"/>
    </xf>
    <xf numFmtId="164" fontId="125" fillId="0" borderId="0" xfId="73" applyNumberFormat="1" applyFont="1" applyAlignment="1">
      <alignment horizontal="centerContinuous" vertical="center" wrapText="1"/>
    </xf>
    <xf numFmtId="49" fontId="119" fillId="0" borderId="0" xfId="0" applyNumberFormat="1" applyFont="1" applyBorder="1" applyAlignment="1"/>
    <xf numFmtId="0" fontId="119" fillId="0" borderId="0" xfId="0" applyFont="1" applyBorder="1" applyAlignment="1"/>
    <xf numFmtId="0" fontId="119" fillId="0" borderId="0" xfId="0" applyFont="1" applyBorder="1" applyAlignment="1">
      <alignment horizontal="center"/>
    </xf>
    <xf numFmtId="164" fontId="119" fillId="0" borderId="0" xfId="73" applyNumberFormat="1" applyFont="1" applyBorder="1" applyAlignment="1">
      <alignment vertical="center"/>
    </xf>
    <xf numFmtId="164" fontId="119" fillId="0" borderId="0" xfId="73" applyNumberFormat="1" applyFont="1" applyBorder="1" applyAlignment="1"/>
    <xf numFmtId="49" fontId="121" fillId="0" borderId="0" xfId="0" applyNumberFormat="1" applyFont="1" applyBorder="1" applyAlignment="1"/>
    <xf numFmtId="0" fontId="121" fillId="0" borderId="0" xfId="0" applyFont="1" applyBorder="1" applyAlignment="1"/>
    <xf numFmtId="164" fontId="121" fillId="0" borderId="0" xfId="73" applyNumberFormat="1" applyFont="1" applyBorder="1" applyAlignment="1"/>
    <xf numFmtId="164" fontId="120" fillId="0" borderId="0" xfId="73" applyNumberFormat="1" applyFont="1" applyBorder="1"/>
    <xf numFmtId="49" fontId="120" fillId="0" borderId="0" xfId="0" quotePrefix="1" applyNumberFormat="1" applyFont="1" applyBorder="1" applyAlignment="1"/>
    <xf numFmtId="0" fontId="120" fillId="0" borderId="0" xfId="0" quotePrefix="1" applyFont="1" applyBorder="1" applyAlignment="1"/>
    <xf numFmtId="0" fontId="125" fillId="0" borderId="0" xfId="0" applyFont="1" applyBorder="1" applyAlignment="1">
      <alignment horizontal="center"/>
    </xf>
    <xf numFmtId="49" fontId="120" fillId="0" borderId="0" xfId="0" applyNumberFormat="1" applyFont="1" applyBorder="1" applyAlignment="1"/>
    <xf numFmtId="0" fontId="121" fillId="15" borderId="7" xfId="0" applyFont="1" applyFill="1" applyBorder="1" applyAlignment="1"/>
    <xf numFmtId="0" fontId="121" fillId="15" borderId="7" xfId="0" applyFont="1" applyFill="1" applyBorder="1" applyAlignment="1">
      <alignment horizontal="center"/>
    </xf>
    <xf numFmtId="0" fontId="122" fillId="0" borderId="22" xfId="0" applyFont="1" applyBorder="1" applyAlignment="1"/>
    <xf numFmtId="0" fontId="122" fillId="0" borderId="22" xfId="0" applyFont="1" applyBorder="1" applyAlignment="1">
      <alignment horizontal="center"/>
    </xf>
    <xf numFmtId="0" fontId="122" fillId="0" borderId="0" xfId="0" applyFont="1" applyBorder="1" applyAlignment="1"/>
    <xf numFmtId="0" fontId="121" fillId="0" borderId="22" xfId="0" applyFont="1" applyBorder="1" applyAlignment="1">
      <alignment horizontal="center"/>
    </xf>
    <xf numFmtId="0" fontId="122" fillId="0" borderId="0" xfId="0" applyFont="1" applyBorder="1" applyAlignment="1">
      <alignment horizontal="center"/>
    </xf>
    <xf numFmtId="164" fontId="122" fillId="0" borderId="0" xfId="73" applyNumberFormat="1" applyFont="1" applyBorder="1" applyAlignment="1"/>
    <xf numFmtId="164" fontId="122" fillId="0" borderId="22" xfId="73" applyNumberFormat="1" applyFont="1" applyBorder="1" applyAlignment="1"/>
    <xf numFmtId="164" fontId="122" fillId="0" borderId="23" xfId="73" applyNumberFormat="1" applyFont="1" applyBorder="1" applyAlignment="1"/>
    <xf numFmtId="0" fontId="122" fillId="0" borderId="3" xfId="0" applyFont="1" applyBorder="1" applyAlignment="1"/>
    <xf numFmtId="0" fontId="122" fillId="0" borderId="3" xfId="0" applyFont="1" applyBorder="1" applyAlignment="1">
      <alignment horizontal="center"/>
    </xf>
    <xf numFmtId="164" fontId="121" fillId="0" borderId="0" xfId="73" applyNumberFormat="1" applyFont="1" applyBorder="1" applyAlignment="1">
      <alignment horizontal="center"/>
    </xf>
    <xf numFmtId="164" fontId="121" fillId="0" borderId="0" xfId="0" applyNumberFormat="1" applyFont="1" applyBorder="1" applyAlignment="1">
      <alignment horizontal="center"/>
    </xf>
    <xf numFmtId="0" fontId="121" fillId="0" borderId="0" xfId="0" applyFont="1" applyBorder="1"/>
    <xf numFmtId="164" fontId="121" fillId="0" borderId="0" xfId="73" applyNumberFormat="1" applyFont="1" applyBorder="1"/>
    <xf numFmtId="164" fontId="121" fillId="17" borderId="0" xfId="73" applyNumberFormat="1" applyFont="1" applyFill="1" applyBorder="1" applyAlignment="1"/>
    <xf numFmtId="164" fontId="28" fillId="6" borderId="0" xfId="73" applyNumberFormat="1" applyFont="1" applyFill="1" applyBorder="1" applyAlignment="1">
      <alignment horizontal="center" vertical="center"/>
    </xf>
    <xf numFmtId="164" fontId="30" fillId="6" borderId="0" xfId="73" applyNumberFormat="1" applyFont="1" applyFill="1" applyBorder="1" applyAlignment="1">
      <alignment horizontal="center" vertical="center"/>
    </xf>
    <xf numFmtId="43" fontId="30" fillId="6" borderId="3" xfId="73" applyFont="1" applyFill="1" applyBorder="1" applyAlignment="1">
      <alignment horizontal="left" vertical="center"/>
    </xf>
    <xf numFmtId="49" fontId="52" fillId="6" borderId="0" xfId="0" applyNumberFormat="1" applyFont="1" applyFill="1" applyBorder="1" applyAlignment="1">
      <alignment horizontal="left" vertical="center"/>
    </xf>
    <xf numFmtId="164" fontId="58" fillId="6" borderId="0" xfId="73" applyNumberFormat="1" applyFont="1" applyFill="1" applyBorder="1" applyAlignment="1">
      <alignment horizontal="center" vertical="center"/>
    </xf>
    <xf numFmtId="0" fontId="58" fillId="6" borderId="0" xfId="0" applyFont="1" applyFill="1" applyBorder="1" applyAlignment="1">
      <alignment horizontal="center" vertical="center"/>
    </xf>
    <xf numFmtId="164" fontId="53" fillId="6" borderId="0" xfId="73" applyNumberFormat="1" applyFont="1" applyFill="1" applyBorder="1" applyAlignment="1">
      <alignment horizontal="center" vertical="center"/>
    </xf>
    <xf numFmtId="0" fontId="39" fillId="6" borderId="0" xfId="0" applyFont="1" applyFill="1" applyBorder="1" applyAlignment="1">
      <alignment horizontal="center" vertical="center"/>
    </xf>
    <xf numFmtId="0" fontId="53" fillId="6" borderId="0" xfId="0" applyFont="1" applyFill="1" applyBorder="1" applyAlignment="1">
      <alignment horizontal="center" vertical="center"/>
    </xf>
    <xf numFmtId="164" fontId="30" fillId="6" borderId="0" xfId="73" applyNumberFormat="1" applyFont="1" applyFill="1" applyBorder="1" applyAlignment="1">
      <alignment horizontal="right" vertical="center" wrapText="1"/>
    </xf>
    <xf numFmtId="0" fontId="52" fillId="6" borderId="0" xfId="0" applyFont="1" applyFill="1" applyBorder="1" applyAlignment="1">
      <alignment horizontal="center"/>
    </xf>
    <xf numFmtId="43" fontId="28" fillId="6" borderId="0" xfId="73" applyFont="1" applyFill="1" applyAlignment="1">
      <alignment horizontal="left" vertical="center"/>
    </xf>
    <xf numFmtId="43" fontId="30" fillId="6" borderId="0" xfId="73" applyFont="1" applyFill="1" applyAlignment="1">
      <alignment horizontal="left" vertical="center"/>
    </xf>
    <xf numFmtId="0" fontId="30" fillId="6" borderId="0" xfId="0" applyFont="1" applyFill="1"/>
    <xf numFmtId="43" fontId="30" fillId="6" borderId="0" xfId="73" applyFont="1" applyFill="1"/>
    <xf numFmtId="164" fontId="30" fillId="6" borderId="0" xfId="73" applyNumberFormat="1" applyFont="1" applyFill="1"/>
    <xf numFmtId="164" fontId="39" fillId="6" borderId="0" xfId="73" applyNumberFormat="1" applyFont="1" applyFill="1" applyBorder="1"/>
    <xf numFmtId="0" fontId="39" fillId="6" borderId="0" xfId="0" applyFont="1" applyFill="1" applyBorder="1"/>
    <xf numFmtId="164" fontId="28" fillId="6" borderId="0" xfId="73" applyNumberFormat="1" applyFont="1" applyFill="1" applyBorder="1"/>
    <xf numFmtId="43" fontId="28" fillId="6" borderId="0" xfId="73" applyFont="1" applyFill="1"/>
    <xf numFmtId="43" fontId="28" fillId="6" borderId="2" xfId="73" applyFont="1" applyFill="1" applyBorder="1" applyAlignment="1">
      <alignment horizontal="center" vertical="center"/>
    </xf>
    <xf numFmtId="164" fontId="28" fillId="6" borderId="2" xfId="73" applyNumberFormat="1" applyFont="1" applyFill="1" applyBorder="1" applyAlignment="1">
      <alignment horizontal="center" vertical="center" wrapText="1"/>
    </xf>
    <xf numFmtId="164" fontId="39" fillId="6" borderId="0" xfId="73" applyNumberFormat="1" applyFont="1" applyFill="1" applyBorder="1" applyAlignment="1">
      <alignment horizontal="center" vertical="center"/>
    </xf>
    <xf numFmtId="0" fontId="28" fillId="6" borderId="0" xfId="0" applyFont="1" applyFill="1"/>
    <xf numFmtId="43" fontId="28" fillId="6" borderId="24" xfId="73" applyFont="1" applyFill="1" applyBorder="1" applyAlignment="1"/>
    <xf numFmtId="43" fontId="28" fillId="6" borderId="22" xfId="73" applyFont="1" applyFill="1" applyBorder="1" applyAlignment="1"/>
    <xf numFmtId="43" fontId="28" fillId="6" borderId="23" xfId="73" applyFont="1" applyFill="1" applyBorder="1" applyAlignment="1"/>
    <xf numFmtId="43" fontId="28" fillId="6" borderId="18" xfId="73" applyFont="1" applyFill="1" applyBorder="1"/>
    <xf numFmtId="164" fontId="28" fillId="6" borderId="18" xfId="73" applyNumberFormat="1" applyFont="1" applyFill="1" applyBorder="1"/>
    <xf numFmtId="43" fontId="30" fillId="6" borderId="18" xfId="73" applyFont="1" applyFill="1" applyBorder="1"/>
    <xf numFmtId="164" fontId="30" fillId="6" borderId="18" xfId="73" applyNumberFormat="1" applyFont="1" applyFill="1" applyBorder="1"/>
    <xf numFmtId="164" fontId="29" fillId="6" borderId="0" xfId="73" applyNumberFormat="1" applyFont="1" applyFill="1" applyBorder="1"/>
    <xf numFmtId="0" fontId="29" fillId="6" borderId="0" xfId="0" applyFont="1" applyFill="1" applyBorder="1"/>
    <xf numFmtId="164" fontId="30" fillId="6" borderId="0" xfId="73" applyNumberFormat="1" applyFont="1" applyFill="1" applyBorder="1"/>
    <xf numFmtId="43" fontId="28" fillId="6" borderId="25" xfId="73" applyFont="1" applyFill="1" applyBorder="1" applyAlignment="1"/>
    <xf numFmtId="43" fontId="28" fillId="6" borderId="26" xfId="73" applyFont="1" applyFill="1" applyBorder="1" applyAlignment="1"/>
    <xf numFmtId="43" fontId="28" fillId="6" borderId="27" xfId="73" applyFont="1" applyFill="1" applyBorder="1" applyAlignment="1"/>
    <xf numFmtId="43" fontId="30" fillId="6" borderId="21" xfId="73" applyFont="1" applyFill="1" applyBorder="1"/>
    <xf numFmtId="164" fontId="30" fillId="6" borderId="21" xfId="73" applyNumberFormat="1" applyFont="1" applyFill="1" applyBorder="1"/>
    <xf numFmtId="164" fontId="28" fillId="6" borderId="21" xfId="73" applyNumberFormat="1" applyFont="1" applyFill="1" applyBorder="1"/>
    <xf numFmtId="0" fontId="30" fillId="6" borderId="0" xfId="0" applyFont="1" applyFill="1" applyBorder="1"/>
    <xf numFmtId="164" fontId="53" fillId="6" borderId="0" xfId="73" applyNumberFormat="1" applyFont="1" applyFill="1" applyBorder="1" applyAlignment="1">
      <alignment horizontal="center" vertical="center" wrapText="1"/>
    </xf>
    <xf numFmtId="0" fontId="28" fillId="6" borderId="0" xfId="160" applyFont="1" applyFill="1" applyBorder="1" applyAlignment="1">
      <alignment horizontal="center" vertical="center"/>
    </xf>
    <xf numFmtId="0" fontId="29" fillId="6" borderId="0" xfId="0" applyFont="1" applyFill="1" applyBorder="1" applyAlignment="1">
      <alignment horizontal="center" vertical="center"/>
    </xf>
    <xf numFmtId="0" fontId="52" fillId="6" borderId="0" xfId="0" applyFont="1" applyFill="1" applyBorder="1" applyAlignment="1">
      <alignment horizontal="justify" wrapText="1"/>
    </xf>
    <xf numFmtId="164" fontId="28" fillId="6" borderId="0" xfId="73" applyNumberFormat="1" applyFont="1" applyFill="1" applyBorder="1" applyAlignment="1">
      <alignment horizontal="center" vertical="center" wrapText="1"/>
    </xf>
    <xf numFmtId="0" fontId="28" fillId="6" borderId="20" xfId="160" applyFont="1" applyFill="1" applyBorder="1" applyAlignment="1">
      <alignment horizontal="center" vertical="center"/>
    </xf>
    <xf numFmtId="164" fontId="28" fillId="6" borderId="0" xfId="0" applyNumberFormat="1" applyFont="1" applyFill="1" applyBorder="1" applyAlignment="1">
      <alignment horizontal="center" vertical="center"/>
    </xf>
    <xf numFmtId="164" fontId="30" fillId="6" borderId="0" xfId="73" applyNumberFormat="1" applyFont="1" applyFill="1" applyBorder="1" applyAlignment="1">
      <alignment horizontal="left" vertical="center"/>
    </xf>
    <xf numFmtId="0" fontId="30" fillId="6" borderId="0" xfId="160" applyFont="1" applyFill="1" applyBorder="1" applyAlignment="1">
      <alignment horizontal="right" vertical="center"/>
    </xf>
    <xf numFmtId="164" fontId="28" fillId="6" borderId="0" xfId="73" applyNumberFormat="1" applyFont="1" applyFill="1" applyBorder="1" applyAlignment="1">
      <alignment horizontal="left" vertical="center"/>
    </xf>
    <xf numFmtId="0" fontId="28" fillId="6" borderId="0" xfId="160" applyFont="1" applyFill="1" applyBorder="1" applyAlignment="1">
      <alignment horizontal="right" vertical="center"/>
    </xf>
    <xf numFmtId="41" fontId="28" fillId="6" borderId="0" xfId="0" applyNumberFormat="1" applyFont="1" applyFill="1" applyBorder="1" applyAlignment="1">
      <alignment horizontal="center" vertical="center"/>
    </xf>
    <xf numFmtId="49" fontId="30" fillId="6" borderId="0" xfId="0" applyNumberFormat="1" applyFont="1" applyFill="1" applyBorder="1" applyAlignment="1">
      <alignment horizontal="left" vertical="center"/>
    </xf>
    <xf numFmtId="49" fontId="28" fillId="6" borderId="0" xfId="0" applyNumberFormat="1" applyFont="1" applyFill="1" applyBorder="1" applyAlignment="1">
      <alignment horizontal="left" vertical="center"/>
    </xf>
    <xf numFmtId="164" fontId="30" fillId="6" borderId="0" xfId="73" applyNumberFormat="1" applyFont="1" applyFill="1" applyBorder="1" applyAlignment="1">
      <alignment horizontal="center" vertical="center" wrapText="1"/>
    </xf>
    <xf numFmtId="43" fontId="28" fillId="6" borderId="0" xfId="73" applyFont="1" applyFill="1" applyBorder="1" applyAlignment="1">
      <alignment horizontal="left" vertical="center"/>
    </xf>
    <xf numFmtId="43" fontId="30" fillId="6" borderId="0" xfId="73" applyFont="1" applyFill="1" applyBorder="1" applyAlignment="1">
      <alignment horizontal="left" vertical="center"/>
    </xf>
    <xf numFmtId="164" fontId="3" fillId="6" borderId="0" xfId="73" applyNumberFormat="1" applyFont="1" applyFill="1" applyBorder="1" applyAlignment="1">
      <alignment horizontal="right" vertical="top" wrapText="1"/>
    </xf>
    <xf numFmtId="164" fontId="3" fillId="6" borderId="0" xfId="73" applyNumberFormat="1" applyFont="1" applyFill="1" applyBorder="1" applyAlignment="1">
      <alignment horizontal="right" wrapText="1"/>
    </xf>
    <xf numFmtId="49" fontId="28" fillId="6" borderId="20" xfId="73" applyNumberFormat="1" applyFont="1" applyFill="1" applyBorder="1" applyAlignment="1">
      <alignment horizontal="center" vertical="center" wrapText="1"/>
    </xf>
    <xf numFmtId="49" fontId="28" fillId="6" borderId="0" xfId="0" applyNumberFormat="1" applyFont="1" applyFill="1" applyBorder="1" applyAlignment="1">
      <alignment horizontal="left" vertical="center" wrapText="1"/>
    </xf>
    <xf numFmtId="0" fontId="28" fillId="6" borderId="0" xfId="0" applyFont="1" applyFill="1" applyBorder="1" applyAlignment="1">
      <alignment horizontal="left" vertical="center"/>
    </xf>
    <xf numFmtId="0" fontId="28" fillId="6" borderId="0" xfId="0" applyFont="1" applyFill="1" applyBorder="1" applyAlignment="1">
      <alignment horizontal="right" vertical="center"/>
    </xf>
    <xf numFmtId="0" fontId="30" fillId="6" borderId="0" xfId="0" applyFont="1" applyFill="1" applyBorder="1" applyAlignment="1">
      <alignment horizontal="left" vertical="center"/>
    </xf>
    <xf numFmtId="0" fontId="129" fillId="6" borderId="0" xfId="0" applyFont="1" applyFill="1" applyBorder="1" applyAlignment="1">
      <alignment horizontal="left" vertical="center"/>
    </xf>
    <xf numFmtId="0" fontId="129" fillId="6" borderId="0" xfId="0" applyFont="1" applyFill="1" applyBorder="1" applyAlignment="1">
      <alignment horizontal="center" vertical="center"/>
    </xf>
    <xf numFmtId="0" fontId="130" fillId="6" borderId="0" xfId="0" applyFont="1" applyFill="1" applyBorder="1" applyAlignment="1">
      <alignment horizontal="left" vertical="center"/>
    </xf>
    <xf numFmtId="0" fontId="130" fillId="6" borderId="0" xfId="0" applyFont="1" applyFill="1" applyBorder="1" applyAlignment="1">
      <alignment horizontal="center" vertical="center"/>
    </xf>
    <xf numFmtId="49" fontId="30" fillId="6" borderId="0" xfId="160" applyNumberFormat="1" applyFont="1" applyFill="1" applyBorder="1" applyAlignment="1">
      <alignment horizontal="left" vertical="center"/>
    </xf>
    <xf numFmtId="164" fontId="28" fillId="6" borderId="28" xfId="73" applyNumberFormat="1" applyFont="1" applyFill="1" applyBorder="1" applyAlignment="1">
      <alignment horizontal="right" vertical="center" wrapText="1"/>
    </xf>
    <xf numFmtId="49" fontId="30" fillId="6" borderId="0" xfId="0" applyNumberFormat="1" applyFont="1" applyFill="1" applyBorder="1" applyAlignment="1">
      <alignment horizontal="left" vertical="center" wrapText="1"/>
    </xf>
    <xf numFmtId="0" fontId="30" fillId="6" borderId="0" xfId="0" applyFont="1" applyFill="1" applyBorder="1" applyAlignment="1">
      <alignment horizontal="left" vertical="center" wrapText="1"/>
    </xf>
    <xf numFmtId="164" fontId="30" fillId="6" borderId="0" xfId="73" applyNumberFormat="1" applyFont="1" applyFill="1" applyBorder="1" applyAlignment="1">
      <alignment horizontal="left" vertical="center" wrapText="1"/>
    </xf>
    <xf numFmtId="9" fontId="122" fillId="0" borderId="0" xfId="171" applyFont="1"/>
    <xf numFmtId="0" fontId="119" fillId="0" borderId="0" xfId="0" applyFont="1" applyFill="1" applyAlignment="1">
      <alignment horizontal="center"/>
    </xf>
    <xf numFmtId="0" fontId="121" fillId="6" borderId="0" xfId="0" applyFont="1" applyFill="1" applyAlignment="1">
      <alignment horizontal="center" vertical="center"/>
    </xf>
    <xf numFmtId="164" fontId="121" fillId="6" borderId="0" xfId="73" applyNumberFormat="1" applyFont="1" applyFill="1" applyAlignment="1">
      <alignment horizontal="right" vertical="center"/>
    </xf>
    <xf numFmtId="164" fontId="121" fillId="6" borderId="0" xfId="73" applyNumberFormat="1" applyFont="1" applyFill="1" applyBorder="1" applyAlignment="1">
      <alignment horizontal="center" vertical="center"/>
    </xf>
    <xf numFmtId="0" fontId="121" fillId="6" borderId="0" xfId="0" applyFont="1" applyFill="1" applyBorder="1" applyAlignment="1">
      <alignment horizontal="center" vertical="center"/>
    </xf>
    <xf numFmtId="0" fontId="122" fillId="6" borderId="0" xfId="0" applyFont="1" applyFill="1" applyAlignment="1">
      <alignment horizontal="center" vertical="center"/>
    </xf>
    <xf numFmtId="164" fontId="122" fillId="6" borderId="0" xfId="73" applyNumberFormat="1" applyFont="1" applyFill="1" applyAlignment="1">
      <alignment horizontal="right" vertical="center"/>
    </xf>
    <xf numFmtId="164" fontId="122" fillId="6" borderId="0" xfId="73" applyNumberFormat="1" applyFont="1" applyFill="1" applyBorder="1" applyAlignment="1">
      <alignment horizontal="center" vertical="center"/>
    </xf>
    <xf numFmtId="0" fontId="122" fillId="6" borderId="0" xfId="0" applyFont="1" applyFill="1" applyBorder="1" applyAlignment="1">
      <alignment horizontal="center" vertical="center"/>
    </xf>
    <xf numFmtId="0" fontId="122" fillId="6" borderId="3" xfId="0" applyFont="1" applyFill="1" applyBorder="1" applyAlignment="1">
      <alignment horizontal="center" vertical="center"/>
    </xf>
    <xf numFmtId="164" fontId="122" fillId="6" borderId="3" xfId="73" applyNumberFormat="1" applyFont="1" applyFill="1" applyBorder="1" applyAlignment="1">
      <alignment horizontal="right" vertical="center"/>
    </xf>
    <xf numFmtId="49" fontId="121" fillId="6" borderId="0" xfId="0" applyNumberFormat="1" applyFont="1" applyFill="1" applyAlignment="1">
      <alignment horizontal="left" vertical="center"/>
    </xf>
    <xf numFmtId="0" fontId="132" fillId="6" borderId="0" xfId="0" applyFont="1" applyFill="1" applyAlignment="1">
      <alignment horizontal="justify" vertical="top"/>
    </xf>
    <xf numFmtId="0" fontId="132" fillId="6" borderId="0" xfId="0" applyFont="1" applyFill="1" applyBorder="1" applyAlignment="1">
      <alignment horizontal="justify" vertical="top"/>
    </xf>
    <xf numFmtId="164" fontId="132" fillId="6" borderId="0" xfId="73" applyNumberFormat="1" applyFont="1" applyFill="1" applyBorder="1" applyAlignment="1">
      <alignment horizontal="justify" vertical="top"/>
    </xf>
    <xf numFmtId="49" fontId="122" fillId="6" borderId="0" xfId="0" applyNumberFormat="1" applyFont="1" applyFill="1" applyAlignment="1">
      <alignment horizontal="left" vertical="center"/>
    </xf>
    <xf numFmtId="49" fontId="121" fillId="6" borderId="0" xfId="0" applyNumberFormat="1" applyFont="1" applyFill="1" applyAlignment="1">
      <alignment horizontal="center" vertical="center" wrapText="1"/>
    </xf>
    <xf numFmtId="49" fontId="121" fillId="6" borderId="0" xfId="0" applyNumberFormat="1" applyFont="1" applyFill="1" applyAlignment="1">
      <alignment horizontal="left" vertical="center" wrapText="1"/>
    </xf>
    <xf numFmtId="0" fontId="121" fillId="6" borderId="0" xfId="0" applyFont="1" applyFill="1" applyAlignment="1">
      <alignment horizontal="center" vertical="center" wrapText="1"/>
    </xf>
    <xf numFmtId="164" fontId="121" fillId="6" borderId="3" xfId="73" applyNumberFormat="1" applyFont="1" applyFill="1" applyBorder="1" applyAlignment="1">
      <alignment horizontal="right" vertical="center" wrapText="1"/>
    </xf>
    <xf numFmtId="164" fontId="121" fillId="6" borderId="0" xfId="73" applyNumberFormat="1" applyFont="1" applyFill="1" applyAlignment="1">
      <alignment horizontal="right" vertical="center" wrapText="1"/>
    </xf>
    <xf numFmtId="164" fontId="121" fillId="6" borderId="0" xfId="73" applyNumberFormat="1" applyFont="1" applyFill="1" applyBorder="1" applyAlignment="1">
      <alignment horizontal="right" vertical="center" wrapText="1"/>
    </xf>
    <xf numFmtId="0" fontId="121" fillId="6" borderId="0" xfId="160" applyFont="1" applyFill="1" applyAlignment="1">
      <alignment horizontal="center" vertical="center"/>
    </xf>
    <xf numFmtId="0" fontId="121" fillId="6" borderId="0" xfId="160" applyFont="1" applyFill="1" applyAlignment="1">
      <alignment horizontal="center" vertical="center" wrapText="1"/>
    </xf>
    <xf numFmtId="164" fontId="121" fillId="6" borderId="0" xfId="73" applyNumberFormat="1" applyFont="1" applyFill="1" applyBorder="1" applyAlignment="1">
      <alignment horizontal="right" vertical="center"/>
    </xf>
    <xf numFmtId="0" fontId="122" fillId="6" borderId="0" xfId="160" applyFont="1" applyFill="1" applyAlignment="1">
      <alignment horizontal="center" vertical="center"/>
    </xf>
    <xf numFmtId="49" fontId="122" fillId="6" borderId="0" xfId="160" applyNumberFormat="1" applyFont="1" applyFill="1" applyAlignment="1">
      <alignment horizontal="left" vertical="center"/>
    </xf>
    <xf numFmtId="0" fontId="122" fillId="6" borderId="0" xfId="160" applyFont="1" applyFill="1" applyAlignment="1">
      <alignment horizontal="center" vertical="center" wrapText="1"/>
    </xf>
    <xf numFmtId="164" fontId="122" fillId="6" borderId="0" xfId="73" applyNumberFormat="1" applyFont="1" applyFill="1" applyBorder="1" applyAlignment="1">
      <alignment horizontal="right" vertical="center"/>
    </xf>
    <xf numFmtId="0" fontId="122" fillId="6" borderId="0" xfId="160" applyFont="1" applyFill="1" applyBorder="1" applyAlignment="1">
      <alignment horizontal="center" vertical="center"/>
    </xf>
    <xf numFmtId="49" fontId="121" fillId="6" borderId="0" xfId="160" applyNumberFormat="1" applyFont="1" applyFill="1" applyAlignment="1">
      <alignment horizontal="left" vertical="center"/>
    </xf>
    <xf numFmtId="0" fontId="124" fillId="6" borderId="0" xfId="160" applyFont="1" applyFill="1" applyAlignment="1">
      <alignment horizontal="center" vertical="center"/>
    </xf>
    <xf numFmtId="164" fontId="124" fillId="6" borderId="0" xfId="73" applyNumberFormat="1" applyFont="1" applyFill="1" applyBorder="1" applyAlignment="1">
      <alignment horizontal="right" vertical="center"/>
    </xf>
    <xf numFmtId="164" fontId="124" fillId="6" borderId="0" xfId="73" applyNumberFormat="1" applyFont="1" applyFill="1" applyBorder="1" applyAlignment="1">
      <alignment horizontal="center" vertical="center"/>
    </xf>
    <xf numFmtId="49" fontId="121" fillId="6" borderId="20" xfId="160" applyNumberFormat="1" applyFont="1" applyFill="1" applyBorder="1" applyAlignment="1">
      <alignment horizontal="center" vertical="center" wrapText="1"/>
    </xf>
    <xf numFmtId="0" fontId="121" fillId="6" borderId="20" xfId="160" applyFont="1" applyFill="1" applyBorder="1" applyAlignment="1">
      <alignment horizontal="center" vertical="center" wrapText="1"/>
    </xf>
    <xf numFmtId="164" fontId="121" fillId="6" borderId="20" xfId="73" applyNumberFormat="1" applyFont="1" applyFill="1" applyBorder="1" applyAlignment="1">
      <alignment horizontal="right" vertical="center"/>
    </xf>
    <xf numFmtId="49" fontId="122" fillId="6" borderId="0" xfId="0" applyNumberFormat="1" applyFont="1" applyFill="1" applyAlignment="1">
      <alignment horizontal="left" vertical="center" wrapText="1"/>
    </xf>
    <xf numFmtId="0" fontId="124" fillId="6" borderId="0" xfId="0" applyFont="1" applyFill="1" applyAlignment="1">
      <alignment horizontal="center" vertical="center"/>
    </xf>
    <xf numFmtId="0" fontId="124" fillId="6" borderId="0" xfId="0" applyFont="1" applyFill="1" applyBorder="1" applyAlignment="1">
      <alignment horizontal="center" vertical="center"/>
    </xf>
    <xf numFmtId="49" fontId="121" fillId="6" borderId="20" xfId="160" applyNumberFormat="1" applyFont="1" applyFill="1" applyBorder="1" applyAlignment="1">
      <alignment horizontal="center" vertical="center"/>
    </xf>
    <xf numFmtId="0" fontId="132" fillId="6" borderId="0" xfId="0" applyFont="1" applyFill="1" applyAlignment="1">
      <alignment horizontal="center" vertical="center"/>
    </xf>
    <xf numFmtId="164" fontId="132" fillId="6" borderId="0" xfId="73" applyNumberFormat="1" applyFont="1" applyFill="1" applyAlignment="1">
      <alignment horizontal="right" vertical="center"/>
    </xf>
    <xf numFmtId="164" fontId="126" fillId="6" borderId="0" xfId="73" applyNumberFormat="1" applyFont="1" applyFill="1" applyBorder="1" applyAlignment="1">
      <alignment horizontal="center" vertical="center"/>
    </xf>
    <xf numFmtId="0" fontId="126" fillId="6" borderId="0" xfId="0" applyFont="1" applyFill="1" applyBorder="1" applyAlignment="1">
      <alignment horizontal="center" vertical="center"/>
    </xf>
    <xf numFmtId="164" fontId="132" fillId="6" borderId="0" xfId="73" applyNumberFormat="1" applyFont="1" applyFill="1" applyBorder="1" applyAlignment="1">
      <alignment horizontal="center" vertical="center"/>
    </xf>
    <xf numFmtId="0" fontId="132" fillId="6" borderId="0" xfId="0" applyFont="1" applyFill="1" applyBorder="1" applyAlignment="1">
      <alignment horizontal="center" vertical="center"/>
    </xf>
    <xf numFmtId="49" fontId="124" fillId="6" borderId="0" xfId="0" applyNumberFormat="1" applyFont="1" applyFill="1" applyAlignment="1">
      <alignment horizontal="left" vertical="center"/>
    </xf>
    <xf numFmtId="0" fontId="123" fillId="6" borderId="0" xfId="160" applyFont="1" applyFill="1" applyAlignment="1">
      <alignment horizontal="center" vertical="center"/>
    </xf>
    <xf numFmtId="164" fontId="123" fillId="6" borderId="0" xfId="73" applyNumberFormat="1" applyFont="1" applyFill="1" applyBorder="1" applyAlignment="1">
      <alignment horizontal="center" vertical="center"/>
    </xf>
    <xf numFmtId="49" fontId="121" fillId="6" borderId="20" xfId="160" applyNumberFormat="1" applyFont="1" applyFill="1" applyBorder="1" applyAlignment="1">
      <alignment horizontal="left" vertical="center"/>
    </xf>
    <xf numFmtId="0" fontId="121" fillId="6" borderId="20" xfId="0" applyFont="1" applyFill="1" applyBorder="1" applyAlignment="1">
      <alignment horizontal="center" vertical="center"/>
    </xf>
    <xf numFmtId="0" fontId="123" fillId="6" borderId="0" xfId="0" applyFont="1" applyFill="1" applyBorder="1" applyAlignment="1">
      <alignment horizontal="center" vertical="center"/>
    </xf>
    <xf numFmtId="164" fontId="123" fillId="6" borderId="0" xfId="73" applyNumberFormat="1" applyFont="1" applyFill="1" applyBorder="1" applyAlignment="1">
      <alignment horizontal="right" vertical="center"/>
    </xf>
    <xf numFmtId="0" fontId="132" fillId="6" borderId="0" xfId="0" applyFont="1" applyFill="1" applyAlignment="1">
      <alignment horizontal="center"/>
    </xf>
    <xf numFmtId="49" fontId="132" fillId="6" borderId="0" xfId="0" applyNumberFormat="1" applyFont="1" applyFill="1" applyAlignment="1">
      <alignment horizontal="left" vertical="center"/>
    </xf>
    <xf numFmtId="49" fontId="121" fillId="6" borderId="10" xfId="0" applyNumberFormat="1" applyFont="1" applyFill="1" applyBorder="1" applyAlignment="1">
      <alignment horizontal="center" vertical="center"/>
    </xf>
    <xf numFmtId="0" fontId="121" fillId="6" borderId="7" xfId="0" applyFont="1" applyFill="1" applyBorder="1" applyAlignment="1">
      <alignment horizontal="center" vertical="center"/>
    </xf>
    <xf numFmtId="0" fontId="121" fillId="6" borderId="29" xfId="0" applyFont="1" applyFill="1" applyBorder="1" applyAlignment="1">
      <alignment horizontal="center" vertical="center"/>
    </xf>
    <xf numFmtId="0" fontId="121" fillId="6" borderId="10" xfId="0" applyFont="1" applyFill="1" applyBorder="1" applyAlignment="1">
      <alignment horizontal="center" vertical="center"/>
    </xf>
    <xf numFmtId="0" fontId="121" fillId="6" borderId="29" xfId="0" applyFont="1" applyFill="1" applyBorder="1" applyAlignment="1">
      <alignment horizontal="center" vertical="center" wrapText="1"/>
    </xf>
    <xf numFmtId="49" fontId="121" fillId="6" borderId="30" xfId="0" applyNumberFormat="1" applyFont="1" applyFill="1" applyBorder="1" applyAlignment="1">
      <alignment horizontal="left" vertical="center"/>
    </xf>
    <xf numFmtId="0" fontId="121" fillId="6" borderId="31" xfId="0" applyFont="1" applyFill="1" applyBorder="1" applyAlignment="1">
      <alignment horizontal="center" vertical="center"/>
    </xf>
    <xf numFmtId="184" fontId="121" fillId="6" borderId="32" xfId="73" applyNumberFormat="1" applyFont="1" applyFill="1" applyBorder="1" applyAlignment="1">
      <alignment horizontal="center" vertical="center"/>
    </xf>
    <xf numFmtId="49" fontId="124" fillId="6" borderId="25" xfId="0" applyNumberFormat="1" applyFont="1" applyFill="1" applyBorder="1" applyAlignment="1">
      <alignment horizontal="left" vertical="center"/>
    </xf>
    <xf numFmtId="0" fontId="124" fillId="6" borderId="26" xfId="0" applyFont="1" applyFill="1" applyBorder="1" applyAlignment="1">
      <alignment horizontal="center" vertical="center"/>
    </xf>
    <xf numFmtId="164" fontId="124" fillId="6" borderId="27" xfId="73" applyNumberFormat="1" applyFont="1" applyFill="1" applyBorder="1" applyAlignment="1">
      <alignment horizontal="center" vertical="center"/>
    </xf>
    <xf numFmtId="49" fontId="122" fillId="6" borderId="25" xfId="0" applyNumberFormat="1" applyFont="1" applyFill="1" applyBorder="1" applyAlignment="1">
      <alignment horizontal="left" vertical="center"/>
    </xf>
    <xf numFmtId="0" fontId="122" fillId="6" borderId="26" xfId="0" applyFont="1" applyFill="1" applyBorder="1" applyAlignment="1">
      <alignment horizontal="center" vertical="center"/>
    </xf>
    <xf numFmtId="184" fontId="122" fillId="6" borderId="27" xfId="73" applyNumberFormat="1" applyFont="1" applyFill="1" applyBorder="1" applyAlignment="1">
      <alignment horizontal="center" vertical="center"/>
    </xf>
    <xf numFmtId="184" fontId="122" fillId="6" borderId="25" xfId="73" applyNumberFormat="1" applyFont="1" applyFill="1" applyBorder="1" applyAlignment="1">
      <alignment horizontal="center" vertical="center"/>
    </xf>
    <xf numFmtId="164" fontId="122" fillId="6" borderId="26" xfId="73" applyNumberFormat="1" applyFont="1" applyFill="1" applyBorder="1" applyAlignment="1">
      <alignment horizontal="center" vertical="center"/>
    </xf>
    <xf numFmtId="164" fontId="122" fillId="6" borderId="27" xfId="73" applyNumberFormat="1" applyFont="1" applyFill="1" applyBorder="1" applyAlignment="1">
      <alignment horizontal="center" vertical="center"/>
    </xf>
    <xf numFmtId="49" fontId="121" fillId="6" borderId="25" xfId="0" applyNumberFormat="1" applyFont="1" applyFill="1" applyBorder="1" applyAlignment="1">
      <alignment horizontal="left" vertical="center"/>
    </xf>
    <xf numFmtId="0" fontId="121" fillId="6" borderId="26" xfId="0" applyFont="1" applyFill="1" applyBorder="1" applyAlignment="1">
      <alignment horizontal="center" vertical="center"/>
    </xf>
    <xf numFmtId="164" fontId="121" fillId="6" borderId="27" xfId="73" applyNumberFormat="1" applyFont="1" applyFill="1" applyBorder="1" applyAlignment="1">
      <alignment horizontal="center" vertical="center"/>
    </xf>
    <xf numFmtId="49" fontId="124" fillId="6" borderId="33" xfId="0" applyNumberFormat="1" applyFont="1" applyFill="1" applyBorder="1" applyAlignment="1">
      <alignment horizontal="left" vertical="center"/>
    </xf>
    <xf numFmtId="0" fontId="124" fillId="6" borderId="34" xfId="0" applyFont="1" applyFill="1" applyBorder="1" applyAlignment="1">
      <alignment horizontal="center" vertical="center"/>
    </xf>
    <xf numFmtId="164" fontId="124" fillId="6" borderId="35" xfId="73" applyNumberFormat="1" applyFont="1" applyFill="1" applyBorder="1" applyAlignment="1">
      <alignment horizontal="center" vertical="center"/>
    </xf>
    <xf numFmtId="49" fontId="124" fillId="6" borderId="0" xfId="0" applyNumberFormat="1" applyFont="1" applyFill="1" applyBorder="1" applyAlignment="1">
      <alignment horizontal="left" vertical="center"/>
    </xf>
    <xf numFmtId="184" fontId="124" fillId="6" borderId="0" xfId="73" applyNumberFormat="1" applyFont="1" applyFill="1" applyBorder="1" applyAlignment="1">
      <alignment horizontal="center" vertical="center"/>
    </xf>
    <xf numFmtId="164" fontId="124" fillId="6" borderId="0" xfId="0" applyNumberFormat="1" applyFont="1" applyFill="1" applyBorder="1" applyAlignment="1">
      <alignment horizontal="center" vertical="center"/>
    </xf>
    <xf numFmtId="49" fontId="122" fillId="6" borderId="18" xfId="0" applyNumberFormat="1" applyFont="1" applyFill="1" applyBorder="1" applyAlignment="1">
      <alignment horizontal="left" vertical="center" wrapText="1"/>
    </xf>
    <xf numFmtId="164" fontId="122" fillId="6" borderId="25" xfId="73" applyNumberFormat="1" applyFont="1" applyFill="1" applyBorder="1" applyAlignment="1">
      <alignment vertical="center"/>
    </xf>
    <xf numFmtId="164" fontId="122" fillId="6" borderId="26" xfId="73" applyNumberFormat="1" applyFont="1" applyFill="1" applyBorder="1" applyAlignment="1">
      <alignment vertical="center"/>
    </xf>
    <xf numFmtId="164" fontId="122" fillId="6" borderId="27" xfId="73" applyNumberFormat="1" applyFont="1" applyFill="1" applyBorder="1" applyAlignment="1">
      <alignment vertical="center"/>
    </xf>
    <xf numFmtId="49" fontId="122" fillId="6" borderId="21" xfId="0" applyNumberFormat="1" applyFont="1" applyFill="1" applyBorder="1" applyAlignment="1">
      <alignment horizontal="left" vertical="center" wrapText="1"/>
    </xf>
    <xf numFmtId="164" fontId="122" fillId="6" borderId="33" xfId="73" applyNumberFormat="1" applyFont="1" applyFill="1" applyBorder="1" applyAlignment="1">
      <alignment vertical="center"/>
    </xf>
    <xf numFmtId="164" fontId="122" fillId="6" borderId="34" xfId="73" applyNumberFormat="1" applyFont="1" applyFill="1" applyBorder="1" applyAlignment="1">
      <alignment vertical="center"/>
    </xf>
    <xf numFmtId="164" fontId="122" fillId="6" borderId="35" xfId="73" applyNumberFormat="1" applyFont="1" applyFill="1" applyBorder="1" applyAlignment="1">
      <alignment vertical="center"/>
    </xf>
    <xf numFmtId="49" fontId="121" fillId="6" borderId="0" xfId="160" applyNumberFormat="1" applyFont="1" applyFill="1" applyBorder="1" applyAlignment="1">
      <alignment horizontal="left" vertical="center"/>
    </xf>
    <xf numFmtId="0" fontId="123" fillId="6" borderId="0" xfId="0" applyFont="1" applyFill="1" applyAlignment="1">
      <alignment horizontal="center" vertical="center"/>
    </xf>
    <xf numFmtId="49" fontId="121" fillId="6" borderId="20" xfId="73" applyNumberFormat="1" applyFont="1" applyFill="1" applyBorder="1" applyAlignment="1">
      <alignment horizontal="center" vertical="center"/>
    </xf>
    <xf numFmtId="0" fontId="121" fillId="6" borderId="20" xfId="160" applyFont="1" applyFill="1" applyBorder="1" applyAlignment="1">
      <alignment horizontal="center" vertical="center"/>
    </xf>
    <xf numFmtId="164" fontId="121" fillId="6" borderId="0" xfId="0" applyNumberFormat="1" applyFont="1" applyFill="1" applyBorder="1" applyAlignment="1">
      <alignment horizontal="center" vertical="center"/>
    </xf>
    <xf numFmtId="49" fontId="122" fillId="6" borderId="0" xfId="0" quotePrefix="1" applyNumberFormat="1" applyFont="1" applyFill="1" applyAlignment="1">
      <alignment horizontal="left" vertical="center"/>
    </xf>
    <xf numFmtId="164" fontId="122" fillId="6" borderId="0" xfId="73" applyNumberFormat="1" applyFont="1" applyFill="1" applyBorder="1" applyAlignment="1">
      <alignment horizontal="left" vertical="center"/>
    </xf>
    <xf numFmtId="49" fontId="121" fillId="6" borderId="0" xfId="0" applyNumberFormat="1" applyFont="1" applyFill="1" applyBorder="1" applyAlignment="1">
      <alignment horizontal="left" vertical="center"/>
    </xf>
    <xf numFmtId="49" fontId="122" fillId="6" borderId="0" xfId="0" applyNumberFormat="1" applyFont="1" applyFill="1" applyBorder="1" applyAlignment="1">
      <alignment horizontal="left" vertical="center"/>
    </xf>
    <xf numFmtId="0" fontId="122" fillId="6" borderId="20" xfId="0" applyFont="1" applyFill="1" applyBorder="1" applyAlignment="1">
      <alignment horizontal="center" vertical="center"/>
    </xf>
    <xf numFmtId="49" fontId="121" fillId="6" borderId="0" xfId="73" applyNumberFormat="1" applyFont="1" applyFill="1" applyBorder="1" applyAlignment="1">
      <alignment horizontal="left" vertical="center"/>
    </xf>
    <xf numFmtId="49" fontId="126" fillId="6" borderId="0" xfId="73" applyNumberFormat="1" applyFont="1" applyFill="1" applyBorder="1" applyAlignment="1">
      <alignment horizontal="left" vertical="center" wrapText="1"/>
    </xf>
    <xf numFmtId="164" fontId="126" fillId="6" borderId="0" xfId="73" applyNumberFormat="1" applyFont="1" applyFill="1" applyBorder="1" applyAlignment="1">
      <alignment horizontal="right" vertical="center"/>
    </xf>
    <xf numFmtId="49" fontId="126" fillId="6" borderId="0" xfId="0" applyNumberFormat="1" applyFont="1" applyFill="1" applyAlignment="1">
      <alignment horizontal="left" vertical="center"/>
    </xf>
    <xf numFmtId="0" fontId="126" fillId="6" borderId="0" xfId="0" applyFont="1" applyFill="1" applyAlignment="1">
      <alignment horizontal="center" vertical="center"/>
    </xf>
    <xf numFmtId="0" fontId="132" fillId="6" borderId="0" xfId="0" applyFont="1" applyFill="1" applyAlignment="1">
      <alignment horizontal="center" wrapText="1"/>
    </xf>
    <xf numFmtId="0" fontId="132" fillId="6" borderId="0" xfId="0" applyFont="1" applyFill="1" applyAlignment="1">
      <alignment horizontal="center" vertical="center" wrapText="1"/>
    </xf>
    <xf numFmtId="164" fontId="126" fillId="6" borderId="0" xfId="73" applyNumberFormat="1" applyFont="1" applyFill="1" applyBorder="1" applyAlignment="1">
      <alignment horizontal="center" vertical="center" wrapText="1"/>
    </xf>
    <xf numFmtId="0" fontId="126" fillId="6" borderId="0" xfId="0" applyFont="1" applyFill="1" applyBorder="1" applyAlignment="1">
      <alignment horizontal="center" vertical="center" wrapText="1"/>
    </xf>
    <xf numFmtId="0" fontId="132" fillId="6" borderId="0" xfId="0" applyFont="1" applyFill="1" applyBorder="1" applyAlignment="1">
      <alignment horizontal="center" vertical="center" wrapText="1"/>
    </xf>
    <xf numFmtId="0" fontId="126" fillId="6" borderId="0" xfId="0" applyFont="1" applyFill="1" applyAlignment="1">
      <alignment horizontal="center"/>
    </xf>
    <xf numFmtId="164" fontId="126" fillId="6" borderId="0" xfId="73" applyNumberFormat="1" applyFont="1" applyFill="1" applyAlignment="1">
      <alignment horizontal="right" vertical="center"/>
    </xf>
    <xf numFmtId="49" fontId="121" fillId="15" borderId="18" xfId="0" applyNumberFormat="1" applyFont="1" applyFill="1" applyBorder="1" applyAlignment="1">
      <alignment horizontal="left" vertical="center" wrapText="1"/>
    </xf>
    <xf numFmtId="164" fontId="121" fillId="15" borderId="25" xfId="73" applyNumberFormat="1" applyFont="1" applyFill="1" applyBorder="1" applyAlignment="1">
      <alignment vertical="center"/>
    </xf>
    <xf numFmtId="164" fontId="121" fillId="15" borderId="26" xfId="73" applyNumberFormat="1" applyFont="1" applyFill="1" applyBorder="1" applyAlignment="1">
      <alignment vertical="center"/>
    </xf>
    <xf numFmtId="164" fontId="121" fillId="15" borderId="27" xfId="73" applyNumberFormat="1" applyFont="1" applyFill="1" applyBorder="1" applyAlignment="1">
      <alignment vertical="center"/>
    </xf>
    <xf numFmtId="49" fontId="121" fillId="15" borderId="9" xfId="0" applyNumberFormat="1" applyFont="1" applyFill="1" applyBorder="1" applyAlignment="1">
      <alignment horizontal="left" vertical="center"/>
    </xf>
    <xf numFmtId="0" fontId="34" fillId="0" borderId="0" xfId="0" applyFont="1"/>
    <xf numFmtId="0" fontId="4" fillId="0" borderId="0" xfId="0" applyFont="1"/>
    <xf numFmtId="0" fontId="145" fillId="0" borderId="0" xfId="0" applyFont="1"/>
    <xf numFmtId="0" fontId="34" fillId="0" borderId="3" xfId="0" applyFont="1" applyBorder="1"/>
    <xf numFmtId="0" fontId="148" fillId="0" borderId="0" xfId="0" applyFont="1"/>
    <xf numFmtId="0" fontId="34" fillId="0" borderId="0" xfId="0" applyFont="1" applyAlignment="1"/>
    <xf numFmtId="0" fontId="34" fillId="0" borderId="0" xfId="0" applyFont="1" applyAlignment="1">
      <alignment vertical="center"/>
    </xf>
    <xf numFmtId="0" fontId="122" fillId="0" borderId="0" xfId="0" applyFont="1" applyAlignment="1">
      <alignment vertical="top"/>
    </xf>
    <xf numFmtId="0" fontId="28" fillId="6" borderId="0" xfId="0" applyFont="1" applyFill="1" applyBorder="1" applyAlignment="1"/>
    <xf numFmtId="43" fontId="146" fillId="6" borderId="0" xfId="73" applyFont="1" applyFill="1" applyBorder="1" applyAlignment="1"/>
    <xf numFmtId="0" fontId="146" fillId="6" borderId="0" xfId="0" applyFont="1" applyFill="1" applyBorder="1" applyAlignment="1"/>
    <xf numFmtId="188" fontId="3" fillId="6" borderId="0" xfId="73" applyNumberFormat="1" applyFont="1" applyFill="1" applyBorder="1" applyAlignment="1"/>
    <xf numFmtId="166" fontId="3" fillId="6" borderId="0" xfId="86" applyNumberFormat="1" applyFont="1" applyFill="1" applyBorder="1" applyAlignment="1"/>
    <xf numFmtId="0" fontId="3" fillId="6" borderId="0" xfId="0" applyFont="1" applyFill="1" applyBorder="1" applyAlignment="1"/>
    <xf numFmtId="37" fontId="3" fillId="6" borderId="0" xfId="73" applyNumberFormat="1" applyFont="1" applyFill="1" applyBorder="1" applyAlignment="1"/>
    <xf numFmtId="37" fontId="3" fillId="6" borderId="0" xfId="73" applyNumberFormat="1" applyFont="1" applyFill="1" applyBorder="1" applyAlignment="1">
      <alignment horizontal="right"/>
    </xf>
    <xf numFmtId="188" fontId="29" fillId="6" borderId="0" xfId="73" applyNumberFormat="1" applyFont="1" applyFill="1" applyBorder="1" applyAlignment="1">
      <alignment horizontal="right"/>
    </xf>
    <xf numFmtId="164" fontId="2" fillId="6" borderId="0" xfId="86" applyNumberFormat="1" applyFont="1" applyFill="1" applyBorder="1" applyAlignment="1"/>
    <xf numFmtId="0" fontId="2" fillId="6" borderId="0" xfId="0" applyFont="1" applyFill="1" applyBorder="1" applyAlignment="1">
      <alignment horizontal="justify" vertical="top" wrapText="1"/>
    </xf>
    <xf numFmtId="0" fontId="2" fillId="6" borderId="0" xfId="0" applyFont="1" applyFill="1" applyBorder="1" applyAlignment="1">
      <alignment vertical="top" wrapText="1"/>
    </xf>
    <xf numFmtId="164" fontId="3" fillId="6" borderId="0" xfId="86" applyNumberFormat="1" applyFont="1" applyFill="1" applyBorder="1" applyAlignment="1"/>
    <xf numFmtId="0" fontId="3" fillId="6" borderId="0" xfId="0" quotePrefix="1" applyFont="1" applyFill="1" applyBorder="1" applyAlignment="1">
      <alignment wrapText="1"/>
    </xf>
    <xf numFmtId="0" fontId="3" fillId="6" borderId="0" xfId="0" applyFont="1" applyFill="1" applyAlignment="1">
      <alignment horizontal="justify" vertical="top" wrapText="1"/>
    </xf>
    <xf numFmtId="0" fontId="3" fillId="6" borderId="0" xfId="0" applyFont="1" applyFill="1" applyBorder="1" applyAlignment="1">
      <alignment horizontal="justify" vertical="top" wrapText="1"/>
    </xf>
    <xf numFmtId="0" fontId="2" fillId="6" borderId="0" xfId="0" applyFont="1" applyFill="1" applyBorder="1" applyAlignment="1">
      <alignment horizontal="center" wrapText="1"/>
    </xf>
    <xf numFmtId="3" fontId="3" fillId="6" borderId="0" xfId="0" applyNumberFormat="1" applyFont="1" applyFill="1" applyBorder="1" applyAlignment="1">
      <alignment horizontal="right"/>
    </xf>
    <xf numFmtId="3" fontId="2" fillId="6" borderId="0" xfId="0" applyNumberFormat="1" applyFont="1" applyFill="1" applyBorder="1" applyAlignment="1">
      <alignment horizontal="right"/>
    </xf>
    <xf numFmtId="164" fontId="3" fillId="6" borderId="0" xfId="73" applyNumberFormat="1" applyFont="1" applyFill="1" applyBorder="1" applyAlignment="1">
      <alignment horizontal="justify" vertical="top" wrapText="1"/>
    </xf>
    <xf numFmtId="164" fontId="2" fillId="6" borderId="0" xfId="73" applyNumberFormat="1" applyFont="1" applyFill="1" applyBorder="1" applyAlignment="1">
      <alignment horizontal="right" wrapText="1"/>
    </xf>
    <xf numFmtId="41" fontId="2" fillId="6" borderId="0" xfId="0" applyNumberFormat="1" applyFont="1" applyFill="1" applyBorder="1" applyAlignment="1"/>
    <xf numFmtId="0" fontId="2" fillId="6" borderId="0" xfId="0" applyFont="1" applyFill="1" applyBorder="1" applyAlignment="1"/>
    <xf numFmtId="213" fontId="3" fillId="6" borderId="0" xfId="86" applyNumberFormat="1" applyFont="1" applyFill="1" applyBorder="1" applyAlignment="1">
      <alignment horizontal="left"/>
    </xf>
    <xf numFmtId="41" fontId="3" fillId="6" borderId="0" xfId="0" applyNumberFormat="1" applyFont="1" applyFill="1" applyBorder="1" applyAlignment="1"/>
    <xf numFmtId="41" fontId="2" fillId="6" borderId="36" xfId="0" applyNumberFormat="1" applyFont="1" applyFill="1" applyBorder="1" applyAlignment="1"/>
    <xf numFmtId="164" fontId="28" fillId="6" borderId="0" xfId="73" applyNumberFormat="1" applyFont="1" applyFill="1" applyBorder="1" applyAlignment="1">
      <alignment vertical="top"/>
    </xf>
    <xf numFmtId="164" fontId="28" fillId="6" borderId="0" xfId="73" applyNumberFormat="1" applyFont="1" applyFill="1" applyBorder="1" applyAlignment="1"/>
    <xf numFmtId="164" fontId="30" fillId="6" borderId="0" xfId="73" applyNumberFormat="1" applyFont="1" applyFill="1" applyBorder="1" applyAlignment="1"/>
    <xf numFmtId="0" fontId="30" fillId="6" borderId="0" xfId="0" applyFont="1" applyFill="1" applyBorder="1" applyAlignment="1"/>
    <xf numFmtId="0" fontId="30" fillId="6" borderId="0" xfId="0" applyFont="1" applyFill="1" applyBorder="1" applyAlignment="1">
      <alignment vertical="top"/>
    </xf>
    <xf numFmtId="37" fontId="30" fillId="6" borderId="0" xfId="73" applyNumberFormat="1" applyFont="1" applyFill="1" applyBorder="1" applyAlignment="1">
      <alignment vertical="top"/>
    </xf>
    <xf numFmtId="188" fontId="30" fillId="6" borderId="0" xfId="73" applyNumberFormat="1" applyFont="1" applyFill="1" applyBorder="1" applyAlignment="1">
      <alignment vertical="top"/>
    </xf>
    <xf numFmtId="188" fontId="30" fillId="6" borderId="0" xfId="73" applyNumberFormat="1" applyFont="1" applyFill="1" applyBorder="1" applyAlignment="1"/>
    <xf numFmtId="0" fontId="28" fillId="6" borderId="0" xfId="0" applyFont="1" applyFill="1" applyBorder="1" applyAlignment="1">
      <alignment vertical="top"/>
    </xf>
    <xf numFmtId="37" fontId="28" fillId="6" borderId="0" xfId="73" applyNumberFormat="1" applyFont="1" applyFill="1" applyBorder="1" applyAlignment="1">
      <alignment horizontal="right"/>
    </xf>
    <xf numFmtId="188" fontId="28" fillId="6" borderId="0" xfId="73" applyNumberFormat="1" applyFont="1" applyFill="1" applyBorder="1" applyAlignment="1"/>
    <xf numFmtId="37" fontId="30" fillId="6" borderId="0" xfId="73" applyNumberFormat="1" applyFont="1" applyFill="1" applyBorder="1" applyAlignment="1"/>
    <xf numFmtId="37" fontId="28" fillId="6" borderId="0" xfId="73" applyNumberFormat="1" applyFont="1" applyFill="1" applyBorder="1" applyAlignment="1"/>
    <xf numFmtId="49" fontId="30" fillId="6" borderId="0" xfId="0" applyNumberFormat="1" applyFont="1" applyFill="1" applyBorder="1" applyAlignment="1">
      <alignment horizontal="left" vertical="top" indent="1"/>
    </xf>
    <xf numFmtId="0" fontId="28" fillId="6" borderId="0" xfId="0" applyFont="1" applyFill="1" applyBorder="1" applyAlignment="1">
      <alignment horizontal="left" vertical="top"/>
    </xf>
    <xf numFmtId="37" fontId="28" fillId="6" borderId="0" xfId="73" applyNumberFormat="1" applyFont="1" applyFill="1" applyBorder="1" applyAlignment="1">
      <alignment vertical="top"/>
    </xf>
    <xf numFmtId="0" fontId="30" fillId="6" borderId="0" xfId="0" applyFont="1" applyFill="1" applyBorder="1" applyAlignment="1">
      <alignment horizontal="justify"/>
    </xf>
    <xf numFmtId="0" fontId="30" fillId="6" borderId="0" xfId="0" applyFont="1" applyFill="1" applyBorder="1" applyAlignment="1">
      <alignment horizontal="left" indent="1"/>
    </xf>
    <xf numFmtId="0" fontId="30" fillId="6" borderId="0" xfId="0" quotePrefix="1" applyFont="1" applyFill="1" applyBorder="1" applyAlignment="1"/>
    <xf numFmtId="0" fontId="30" fillId="6" borderId="0" xfId="0" applyFont="1" applyFill="1" applyBorder="1" applyAlignment="1">
      <alignment horizontal="left"/>
    </xf>
    <xf numFmtId="0" fontId="28" fillId="6" borderId="0" xfId="0" applyFont="1" applyFill="1" applyBorder="1" applyAlignment="1">
      <alignment horizontal="left" indent="1"/>
    </xf>
    <xf numFmtId="0" fontId="39" fillId="6" borderId="0" xfId="0" applyFont="1" applyFill="1" applyBorder="1" applyAlignment="1"/>
    <xf numFmtId="37" fontId="39" fillId="6" borderId="0" xfId="73" applyNumberFormat="1" applyFont="1" applyFill="1" applyBorder="1" applyAlignment="1"/>
    <xf numFmtId="188" fontId="39" fillId="6" borderId="0" xfId="73" applyNumberFormat="1" applyFont="1" applyFill="1" applyBorder="1" applyAlignment="1"/>
    <xf numFmtId="49" fontId="123" fillId="6" borderId="0" xfId="0" applyNumberFormat="1" applyFont="1" applyFill="1" applyAlignment="1">
      <alignment horizontal="left" vertical="center"/>
    </xf>
    <xf numFmtId="0" fontId="30" fillId="6" borderId="0" xfId="160" quotePrefix="1" applyFont="1" applyFill="1" applyBorder="1" applyAlignment="1">
      <alignment horizontal="center" vertical="top"/>
    </xf>
    <xf numFmtId="0" fontId="3" fillId="6" borderId="0" xfId="160" quotePrefix="1" applyFont="1" applyFill="1" applyBorder="1" applyAlignment="1">
      <alignment horizontal="center" vertical="top"/>
    </xf>
    <xf numFmtId="0" fontId="3" fillId="6" borderId="0" xfId="160" applyFont="1" applyFill="1" applyBorder="1" applyAlignment="1">
      <alignment horizontal="center" vertical="center"/>
    </xf>
    <xf numFmtId="164" fontId="3" fillId="6" borderId="0" xfId="73" applyNumberFormat="1" applyFont="1" applyFill="1" applyBorder="1" applyAlignment="1">
      <alignment horizontal="right" vertical="center"/>
    </xf>
    <xf numFmtId="0" fontId="3" fillId="6" borderId="0" xfId="160" applyFont="1" applyFill="1" applyBorder="1" applyAlignment="1">
      <alignment horizontal="right" vertical="center"/>
    </xf>
    <xf numFmtId="0" fontId="3" fillId="6" borderId="0" xfId="0" applyFont="1" applyFill="1" applyBorder="1" applyAlignment="1">
      <alignment horizontal="center" vertical="center"/>
    </xf>
    <xf numFmtId="0" fontId="155" fillId="6" borderId="0" xfId="0" applyFont="1" applyFill="1" applyBorder="1" applyAlignment="1">
      <alignment horizontal="left" vertical="top"/>
    </xf>
    <xf numFmtId="0" fontId="2" fillId="6" borderId="0" xfId="0" applyFont="1" applyFill="1" applyBorder="1" applyAlignment="1">
      <alignment horizontal="center" vertical="center"/>
    </xf>
    <xf numFmtId="164" fontId="3" fillId="6" borderId="0" xfId="73" applyNumberFormat="1" applyFont="1" applyFill="1" applyBorder="1" applyAlignment="1">
      <alignment horizontal="center" vertical="center"/>
    </xf>
    <xf numFmtId="0" fontId="155" fillId="6" borderId="0" xfId="0" applyFont="1" applyFill="1" applyBorder="1" applyAlignment="1">
      <alignment vertical="top"/>
    </xf>
    <xf numFmtId="0" fontId="120" fillId="0" borderId="0" xfId="0" applyFont="1" applyAlignment="1">
      <alignment vertical="center"/>
    </xf>
    <xf numFmtId="164" fontId="119" fillId="0" borderId="0" xfId="0" applyNumberFormat="1" applyFont="1" applyAlignment="1">
      <alignment vertical="center"/>
    </xf>
    <xf numFmtId="0" fontId="120" fillId="0" borderId="0" xfId="0" applyFont="1" applyAlignment="1">
      <alignment horizontal="center" vertical="center"/>
    </xf>
    <xf numFmtId="164" fontId="120" fillId="0" borderId="0" xfId="73" applyNumberFormat="1" applyFont="1" applyAlignment="1">
      <alignment vertical="center"/>
    </xf>
    <xf numFmtId="164" fontId="120" fillId="0" borderId="0" xfId="73" applyNumberFormat="1" applyFont="1" applyAlignment="1">
      <alignment horizontal="right" vertical="center"/>
    </xf>
    <xf numFmtId="164" fontId="119" fillId="0" borderId="0" xfId="73" applyNumberFormat="1" applyFont="1" applyAlignment="1">
      <alignment vertical="center"/>
    </xf>
    <xf numFmtId="164" fontId="122" fillId="17" borderId="0" xfId="73" applyNumberFormat="1" applyFont="1" applyFill="1" applyAlignment="1">
      <alignment vertical="center"/>
    </xf>
    <xf numFmtId="164" fontId="4" fillId="0" borderId="0" xfId="0" applyNumberFormat="1" applyFont="1" applyAlignment="1">
      <alignment horizontal="left"/>
    </xf>
    <xf numFmtId="166" fontId="3" fillId="0" borderId="0" xfId="86" applyNumberFormat="1" applyFont="1" applyAlignment="1">
      <alignment horizontal="center"/>
    </xf>
    <xf numFmtId="166" fontId="3" fillId="0" borderId="0" xfId="86" applyNumberFormat="1" applyFont="1"/>
    <xf numFmtId="166" fontId="2" fillId="0" borderId="0" xfId="86" applyNumberFormat="1" applyFont="1" applyAlignment="1">
      <alignment horizontal="right"/>
    </xf>
    <xf numFmtId="164" fontId="3" fillId="0" borderId="0" xfId="0" applyNumberFormat="1" applyFont="1" applyAlignment="1">
      <alignment horizontal="left"/>
    </xf>
    <xf numFmtId="0" fontId="3" fillId="0" borderId="0" xfId="0" applyFont="1"/>
    <xf numFmtId="166" fontId="3" fillId="0" borderId="0" xfId="86" applyNumberFormat="1" applyFont="1" applyAlignment="1">
      <alignment horizontal="right"/>
    </xf>
    <xf numFmtId="164" fontId="3" fillId="0" borderId="3" xfId="0" applyNumberFormat="1" applyFont="1" applyBorder="1" applyAlignment="1">
      <alignment horizontal="left"/>
    </xf>
    <xf numFmtId="0" fontId="3" fillId="0" borderId="3" xfId="0" applyFont="1" applyBorder="1"/>
    <xf numFmtId="166" fontId="3" fillId="0" borderId="3" xfId="86" applyNumberFormat="1" applyFont="1" applyBorder="1" applyAlignment="1">
      <alignment horizontal="center"/>
    </xf>
    <xf numFmtId="166" fontId="3" fillId="0" borderId="3" xfId="86" applyNumberFormat="1" applyFont="1" applyBorder="1"/>
    <xf numFmtId="164" fontId="3" fillId="0" borderId="3" xfId="73" applyNumberFormat="1" applyFont="1" applyBorder="1" applyAlignment="1">
      <alignment horizontal="right"/>
    </xf>
    <xf numFmtId="3" fontId="34" fillId="0" borderId="0" xfId="0" applyNumberFormat="1" applyFont="1"/>
    <xf numFmtId="166" fontId="5" fillId="0" borderId="0" xfId="86" applyNumberFormat="1" applyFont="1" applyAlignment="1">
      <alignment horizontal="right"/>
    </xf>
    <xf numFmtId="166" fontId="2" fillId="0" borderId="7" xfId="86" applyNumberFormat="1" applyFont="1" applyBorder="1" applyAlignment="1">
      <alignment horizontal="center" vertical="center" wrapText="1"/>
    </xf>
    <xf numFmtId="166" fontId="2" fillId="0" borderId="0" xfId="86" applyNumberFormat="1" applyFont="1" applyBorder="1" applyAlignment="1">
      <alignment horizontal="center" vertical="center" wrapText="1"/>
    </xf>
    <xf numFmtId="166" fontId="4" fillId="0" borderId="0" xfId="86" applyNumberFormat="1" applyFont="1" applyAlignment="1">
      <alignment horizontal="center" vertical="center" wrapText="1"/>
    </xf>
    <xf numFmtId="0" fontId="86" fillId="0" borderId="7" xfId="86" quotePrefix="1" applyNumberFormat="1" applyFont="1" applyBorder="1" applyAlignment="1">
      <alignment horizontal="center"/>
    </xf>
    <xf numFmtId="166" fontId="2" fillId="0" borderId="0" xfId="86" applyNumberFormat="1" applyFont="1" applyBorder="1" applyAlignment="1">
      <alignment horizontal="left" vertical="center" wrapText="1"/>
    </xf>
    <xf numFmtId="166" fontId="3" fillId="0" borderId="0" xfId="86" applyNumberFormat="1" applyFont="1" applyBorder="1" applyAlignment="1">
      <alignment horizontal="center"/>
    </xf>
    <xf numFmtId="166" fontId="3" fillId="0" borderId="0" xfId="86" applyNumberFormat="1" applyFont="1" applyBorder="1"/>
    <xf numFmtId="166" fontId="6" fillId="0" borderId="0" xfId="86" applyNumberFormat="1" applyFont="1" applyBorder="1" applyAlignment="1">
      <alignment horizontal="left" vertical="center" wrapText="1"/>
    </xf>
    <xf numFmtId="166" fontId="2" fillId="0" borderId="0" xfId="86" quotePrefix="1" applyNumberFormat="1" applyFont="1" applyBorder="1" applyAlignment="1">
      <alignment horizontal="center"/>
    </xf>
    <xf numFmtId="166" fontId="6" fillId="0" borderId="0" xfId="86" applyNumberFormat="1" applyFont="1" applyBorder="1"/>
    <xf numFmtId="166" fontId="6" fillId="0" borderId="0" xfId="86" applyNumberFormat="1" applyFont="1"/>
    <xf numFmtId="166" fontId="6" fillId="0" borderId="0" xfId="86" quotePrefix="1" applyNumberFormat="1" applyFont="1" applyBorder="1" applyAlignment="1">
      <alignment horizontal="center"/>
    </xf>
    <xf numFmtId="166" fontId="3" fillId="0" borderId="0" xfId="86" quotePrefix="1" applyNumberFormat="1" applyFont="1" applyBorder="1" applyAlignment="1">
      <alignment horizontal="left" vertical="center" wrapText="1"/>
    </xf>
    <xf numFmtId="166" fontId="3" fillId="0" borderId="0" xfId="86" quotePrefix="1" applyNumberFormat="1" applyFont="1" applyBorder="1" applyAlignment="1">
      <alignment horizontal="center"/>
    </xf>
    <xf numFmtId="166" fontId="2" fillId="0" borderId="0" xfId="86" applyNumberFormat="1" applyFont="1"/>
    <xf numFmtId="0" fontId="3" fillId="0" borderId="0" xfId="161" applyFont="1"/>
    <xf numFmtId="0" fontId="3" fillId="0" borderId="0" xfId="161" applyFont="1" applyAlignment="1">
      <alignment horizontal="center"/>
    </xf>
    <xf numFmtId="0" fontId="156" fillId="0" borderId="0" xfId="161" applyFont="1"/>
    <xf numFmtId="166" fontId="2" fillId="0" borderId="0" xfId="86" applyNumberFormat="1" applyFont="1" applyAlignment="1">
      <alignment horizontal="center"/>
    </xf>
    <xf numFmtId="166" fontId="2" fillId="0" borderId="0" xfId="86" applyNumberFormat="1" applyFont="1" applyAlignment="1">
      <alignment horizontal="left"/>
    </xf>
    <xf numFmtId="0" fontId="156" fillId="0" borderId="0" xfId="161" applyFont="1" applyAlignment="1">
      <alignment horizontal="center"/>
    </xf>
    <xf numFmtId="0" fontId="126" fillId="6" borderId="0" xfId="0" applyFont="1" applyFill="1" applyAlignment="1">
      <alignment horizontal="left" vertical="center"/>
    </xf>
    <xf numFmtId="0" fontId="132" fillId="6" borderId="0" xfId="0" applyFont="1" applyFill="1" applyAlignment="1">
      <alignment horizontal="center" vertical="top"/>
    </xf>
    <xf numFmtId="164" fontId="132" fillId="6" borderId="0" xfId="73" applyNumberFormat="1" applyFont="1" applyFill="1" applyBorder="1" applyAlignment="1">
      <alignment horizontal="right" vertical="center"/>
    </xf>
    <xf numFmtId="164" fontId="131" fillId="6" borderId="0" xfId="73" applyNumberFormat="1" applyFont="1" applyFill="1" applyBorder="1" applyAlignment="1">
      <alignment horizontal="center" vertical="center"/>
    </xf>
    <xf numFmtId="164" fontId="126" fillId="6" borderId="20" xfId="73" applyNumberFormat="1" applyFont="1" applyFill="1" applyBorder="1" applyAlignment="1">
      <alignment horizontal="right" vertical="center"/>
    </xf>
    <xf numFmtId="49" fontId="132" fillId="6" borderId="0" xfId="0" applyNumberFormat="1" applyFont="1" applyFill="1" applyAlignment="1">
      <alignment horizontal="left" vertical="center" wrapText="1"/>
    </xf>
    <xf numFmtId="164" fontId="157" fillId="6" borderId="0" xfId="73" applyNumberFormat="1" applyFont="1" applyFill="1" applyBorder="1" applyAlignment="1">
      <alignment horizontal="right" vertical="center"/>
    </xf>
    <xf numFmtId="164" fontId="157" fillId="6" borderId="0" xfId="73" applyNumberFormat="1" applyFont="1" applyFill="1" applyBorder="1" applyAlignment="1">
      <alignment horizontal="center" vertical="center"/>
    </xf>
    <xf numFmtId="0" fontId="157" fillId="6" borderId="0" xfId="0" applyFont="1" applyFill="1" applyBorder="1" applyAlignment="1">
      <alignment horizontal="center" vertical="center"/>
    </xf>
    <xf numFmtId="49" fontId="126" fillId="6" borderId="20" xfId="160" applyNumberFormat="1" applyFont="1" applyFill="1" applyBorder="1" applyAlignment="1">
      <alignment horizontal="center" vertical="center"/>
    </xf>
    <xf numFmtId="0" fontId="157" fillId="6" borderId="0" xfId="160" applyFont="1" applyFill="1" applyAlignment="1">
      <alignment horizontal="center" vertical="center"/>
    </xf>
    <xf numFmtId="0" fontId="126" fillId="6" borderId="20" xfId="0" applyFont="1" applyFill="1" applyBorder="1" applyAlignment="1">
      <alignment horizontal="center" vertical="center"/>
    </xf>
    <xf numFmtId="0" fontId="131" fillId="6" borderId="0" xfId="0" applyFont="1" applyFill="1" applyBorder="1" applyAlignment="1">
      <alignment horizontal="center" vertical="center"/>
    </xf>
    <xf numFmtId="164" fontId="132" fillId="6" borderId="0" xfId="73" applyNumberFormat="1" applyFont="1" applyFill="1" applyBorder="1" applyAlignment="1">
      <alignment horizontal="right" vertical="center" wrapText="1"/>
    </xf>
    <xf numFmtId="49" fontId="63" fillId="0" borderId="19" xfId="0" applyNumberFormat="1" applyFont="1" applyFill="1" applyBorder="1" applyAlignment="1">
      <alignment vertical="center" wrapText="1"/>
    </xf>
    <xf numFmtId="0" fontId="63" fillId="0" borderId="19" xfId="0" applyFont="1" applyFill="1" applyBorder="1" applyAlignment="1">
      <alignment wrapText="1"/>
    </xf>
    <xf numFmtId="164" fontId="122" fillId="6" borderId="0" xfId="73" applyNumberFormat="1" applyFont="1" applyFill="1" applyBorder="1" applyAlignment="1">
      <alignment horizontal="right" vertical="center" wrapText="1"/>
    </xf>
    <xf numFmtId="164" fontId="122" fillId="6" borderId="0" xfId="73" applyNumberFormat="1" applyFont="1" applyFill="1" applyAlignment="1">
      <alignment horizontal="right" vertical="center" wrapText="1"/>
    </xf>
    <xf numFmtId="164" fontId="0" fillId="0" borderId="0" xfId="0" applyNumberFormat="1"/>
    <xf numFmtId="0" fontId="120" fillId="0" borderId="0" xfId="0" applyFont="1" applyFill="1" applyAlignment="1"/>
    <xf numFmtId="0" fontId="122" fillId="0" borderId="0" xfId="0" applyFont="1" applyFill="1" applyAlignment="1"/>
    <xf numFmtId="0" fontId="122" fillId="0" borderId="0" xfId="0" applyFont="1" applyFill="1" applyAlignment="1">
      <alignment vertical="top"/>
    </xf>
    <xf numFmtId="0" fontId="2" fillId="6" borderId="0" xfId="0" applyFont="1" applyFill="1" applyAlignment="1">
      <alignment horizontal="center" vertical="center"/>
    </xf>
    <xf numFmtId="164" fontId="2" fillId="6" borderId="0" xfId="73" applyNumberFormat="1" applyFont="1" applyFill="1" applyAlignment="1">
      <alignment horizontal="right" vertical="center"/>
    </xf>
    <xf numFmtId="164" fontId="2" fillId="6" borderId="0" xfId="73" applyNumberFormat="1" applyFont="1" applyFill="1" applyBorder="1" applyAlignment="1">
      <alignment horizontal="center" vertical="center"/>
    </xf>
    <xf numFmtId="0" fontId="121" fillId="6" borderId="0" xfId="0" applyFont="1" applyFill="1" applyAlignment="1">
      <alignment horizontal="left" vertical="center"/>
    </xf>
    <xf numFmtId="0" fontId="121" fillId="6" borderId="0" xfId="0" applyFont="1" applyFill="1" applyAlignment="1">
      <alignment horizontal="center" vertical="top"/>
    </xf>
    <xf numFmtId="0" fontId="122" fillId="6" borderId="0" xfId="0" applyFont="1" applyFill="1" applyAlignment="1">
      <alignment horizontal="justify" vertical="top"/>
    </xf>
    <xf numFmtId="164" fontId="122" fillId="6" borderId="0" xfId="73" applyNumberFormat="1" applyFont="1" applyFill="1" applyBorder="1" applyAlignment="1">
      <alignment horizontal="justify" vertical="top"/>
    </xf>
    <xf numFmtId="0" fontId="122" fillId="6" borderId="0" xfId="0" applyFont="1" applyFill="1" applyBorder="1" applyAlignment="1">
      <alignment horizontal="justify" vertical="top"/>
    </xf>
    <xf numFmtId="0" fontId="124" fillId="6" borderId="0" xfId="0" applyFont="1" applyFill="1" applyAlignment="1">
      <alignment horizontal="center" vertical="top"/>
    </xf>
    <xf numFmtId="0" fontId="124" fillId="6" borderId="0" xfId="0" applyFont="1" applyFill="1" applyAlignment="1">
      <alignment horizontal="justify" vertical="top"/>
    </xf>
    <xf numFmtId="164" fontId="124" fillId="6" borderId="0" xfId="73" applyNumberFormat="1" applyFont="1" applyFill="1" applyBorder="1" applyAlignment="1">
      <alignment horizontal="justify" vertical="top"/>
    </xf>
    <xf numFmtId="0" fontId="124" fillId="6" borderId="0" xfId="0" applyFont="1" applyFill="1" applyBorder="1" applyAlignment="1">
      <alignment horizontal="justify" vertical="top"/>
    </xf>
    <xf numFmtId="0" fontId="122" fillId="6" borderId="0" xfId="0" applyFont="1" applyFill="1" applyAlignment="1">
      <alignment horizontal="center"/>
    </xf>
    <xf numFmtId="0" fontId="122" fillId="6" borderId="0" xfId="0" applyFont="1" applyFill="1" applyAlignment="1">
      <alignment horizontal="justify"/>
    </xf>
    <xf numFmtId="164" fontId="122" fillId="6" borderId="0" xfId="73" applyNumberFormat="1" applyFont="1" applyFill="1" applyBorder="1" applyAlignment="1">
      <alignment horizontal="justify"/>
    </xf>
    <xf numFmtId="0" fontId="122" fillId="6" borderId="0" xfId="0" applyFont="1" applyFill="1" applyBorder="1" applyAlignment="1">
      <alignment horizontal="justify"/>
    </xf>
    <xf numFmtId="0" fontId="122" fillId="6" borderId="0" xfId="0" applyFont="1" applyFill="1" applyAlignment="1">
      <alignment horizontal="center" vertical="top"/>
    </xf>
    <xf numFmtId="0" fontId="122" fillId="6" borderId="0" xfId="0" applyNumberFormat="1" applyFont="1" applyFill="1" applyAlignment="1">
      <alignment horizontal="justify" vertical="top" wrapText="1"/>
    </xf>
    <xf numFmtId="0" fontId="124" fillId="0" borderId="0" xfId="0" applyFont="1" applyAlignment="1">
      <alignment vertical="top"/>
    </xf>
    <xf numFmtId="0" fontId="121" fillId="6" borderId="0" xfId="0" applyFont="1" applyFill="1" applyAlignment="1">
      <alignment horizontal="justify" vertical="top"/>
    </xf>
    <xf numFmtId="164" fontId="121" fillId="6" borderId="0" xfId="73" applyNumberFormat="1" applyFont="1" applyFill="1" applyBorder="1" applyAlignment="1">
      <alignment horizontal="justify" vertical="top"/>
    </xf>
    <xf numFmtId="0" fontId="121" fillId="6" borderId="0" xfId="0" applyFont="1" applyFill="1" applyBorder="1" applyAlignment="1">
      <alignment horizontal="justify" vertical="top"/>
    </xf>
    <xf numFmtId="0" fontId="122" fillId="6" borderId="0" xfId="0" applyFont="1" applyFill="1" applyAlignment="1">
      <alignment horizontal="center" vertical="top" shrinkToFit="1"/>
    </xf>
    <xf numFmtId="0" fontId="122" fillId="0" borderId="0" xfId="0" applyFont="1" applyAlignment="1">
      <alignment vertical="justify"/>
    </xf>
    <xf numFmtId="0" fontId="124" fillId="6" borderId="0" xfId="0" applyFont="1" applyFill="1" applyAlignment="1">
      <alignment vertical="top"/>
    </xf>
    <xf numFmtId="0" fontId="124" fillId="6" borderId="0" xfId="0" applyFont="1" applyFill="1" applyAlignment="1">
      <alignment vertical="justify"/>
    </xf>
    <xf numFmtId="0" fontId="122" fillId="6" borderId="0" xfId="0" applyFont="1" applyFill="1" applyAlignment="1">
      <alignment vertical="top"/>
    </xf>
    <xf numFmtId="0" fontId="122" fillId="6" borderId="0" xfId="0" applyFont="1" applyFill="1" applyAlignment="1">
      <alignment vertical="justify"/>
    </xf>
    <xf numFmtId="0" fontId="124" fillId="6" borderId="0" xfId="0" applyFont="1" applyFill="1" applyAlignment="1">
      <alignment horizontal="center" vertical="top" shrinkToFit="1"/>
    </xf>
    <xf numFmtId="164" fontId="122" fillId="6" borderId="0" xfId="73" applyNumberFormat="1" applyFont="1" applyFill="1" applyBorder="1" applyAlignment="1">
      <alignment horizontal="justify" vertical="top" wrapText="1"/>
    </xf>
    <xf numFmtId="164" fontId="124" fillId="6" borderId="0" xfId="73" applyNumberFormat="1" applyFont="1" applyFill="1" applyBorder="1" applyAlignment="1">
      <alignment horizontal="justify" vertical="top" wrapText="1"/>
    </xf>
    <xf numFmtId="0" fontId="122" fillId="6" borderId="0" xfId="0" quotePrefix="1" applyFont="1" applyFill="1" applyAlignment="1">
      <alignment horizontal="center" vertical="top"/>
    </xf>
    <xf numFmtId="0" fontId="122" fillId="6" borderId="0" xfId="0" quotePrefix="1" applyFont="1" applyFill="1" applyAlignment="1">
      <alignment horizontal="center" vertical="top" shrinkToFit="1"/>
    </xf>
    <xf numFmtId="49" fontId="124" fillId="6" borderId="0" xfId="160" applyNumberFormat="1" applyFont="1" applyFill="1" applyAlignment="1">
      <alignment horizontal="left" vertical="center"/>
    </xf>
    <xf numFmtId="164" fontId="121" fillId="6" borderId="0" xfId="160" applyNumberFormat="1" applyFont="1" applyFill="1" applyBorder="1" applyAlignment="1">
      <alignment horizontal="center" vertical="center"/>
    </xf>
    <xf numFmtId="164" fontId="122" fillId="6" borderId="0" xfId="160" applyNumberFormat="1" applyFont="1" applyFill="1" applyAlignment="1">
      <alignment horizontal="center" vertical="center"/>
    </xf>
    <xf numFmtId="164" fontId="121" fillId="6" borderId="0" xfId="73" applyNumberFormat="1" applyFont="1" applyFill="1" applyAlignment="1">
      <alignment horizontal="center" vertical="center" wrapText="1"/>
    </xf>
    <xf numFmtId="49" fontId="63" fillId="0" borderId="19" xfId="0" applyNumberFormat="1" applyFont="1" applyFill="1" applyBorder="1" applyAlignment="1">
      <alignment horizontal="center"/>
    </xf>
    <xf numFmtId="14" fontId="63" fillId="0" borderId="15" xfId="0" applyNumberFormat="1" applyFont="1" applyFill="1" applyBorder="1" applyAlignment="1">
      <alignment horizontal="center"/>
    </xf>
    <xf numFmtId="0" fontId="63" fillId="0" borderId="19" xfId="0" applyFont="1" applyFill="1" applyBorder="1" applyAlignment="1">
      <alignment horizontal="center"/>
    </xf>
    <xf numFmtId="37" fontId="63" fillId="0" borderId="15" xfId="73" applyNumberFormat="1" applyFont="1" applyFill="1" applyBorder="1"/>
    <xf numFmtId="164" fontId="63" fillId="0" borderId="19" xfId="73" applyNumberFormat="1" applyFont="1" applyFill="1" applyBorder="1" applyAlignment="1">
      <alignment wrapText="1"/>
    </xf>
    <xf numFmtId="43" fontId="30" fillId="6" borderId="0" xfId="0" applyNumberFormat="1" applyFont="1" applyFill="1" applyBorder="1" applyAlignment="1">
      <alignment horizontal="center" vertical="center"/>
    </xf>
    <xf numFmtId="49" fontId="28" fillId="6" borderId="3" xfId="73" applyNumberFormat="1" applyFont="1" applyFill="1" applyBorder="1" applyAlignment="1">
      <alignment horizontal="left" vertical="center"/>
    </xf>
    <xf numFmtId="164" fontId="2" fillId="6" borderId="3" xfId="73" applyNumberFormat="1" applyFont="1" applyFill="1" applyBorder="1" applyAlignment="1">
      <alignment horizontal="right" wrapText="1"/>
    </xf>
    <xf numFmtId="164" fontId="3" fillId="6" borderId="0" xfId="73" applyNumberFormat="1" applyFont="1" applyFill="1" applyBorder="1" applyAlignment="1">
      <alignment horizontal="center" wrapText="1"/>
    </xf>
    <xf numFmtId="49" fontId="30" fillId="6" borderId="0" xfId="73" applyNumberFormat="1" applyFont="1" applyFill="1" applyBorder="1" applyAlignment="1">
      <alignment horizontal="left" vertical="center"/>
    </xf>
    <xf numFmtId="164" fontId="39" fillId="6" borderId="0" xfId="0" applyNumberFormat="1" applyFont="1" applyFill="1" applyBorder="1" applyAlignment="1">
      <alignment horizontal="center" vertical="center"/>
    </xf>
    <xf numFmtId="164" fontId="39" fillId="6" borderId="0" xfId="73" applyNumberFormat="1" applyFont="1" applyFill="1" applyBorder="1" applyAlignment="1">
      <alignment horizontal="left" vertical="center"/>
    </xf>
    <xf numFmtId="49" fontId="39" fillId="6" borderId="0" xfId="0" applyNumberFormat="1" applyFont="1" applyFill="1" applyBorder="1" applyAlignment="1">
      <alignment horizontal="left" vertical="center"/>
    </xf>
    <xf numFmtId="164" fontId="39" fillId="6" borderId="0" xfId="73" applyNumberFormat="1" applyFont="1" applyFill="1" applyBorder="1" applyAlignment="1">
      <alignment horizontal="right" vertical="center"/>
    </xf>
    <xf numFmtId="49" fontId="29" fillId="6" borderId="0" xfId="0" applyNumberFormat="1" applyFont="1" applyFill="1" applyBorder="1" applyAlignment="1">
      <alignment horizontal="left" vertical="center"/>
    </xf>
    <xf numFmtId="164" fontId="29" fillId="6" borderId="0" xfId="73" applyNumberFormat="1" applyFont="1" applyFill="1" applyBorder="1" applyAlignment="1">
      <alignment horizontal="right" vertical="center"/>
    </xf>
    <xf numFmtId="0" fontId="28" fillId="6" borderId="0" xfId="0" applyFont="1" applyFill="1" applyBorder="1" applyAlignment="1">
      <alignment horizontal="right" vertical="center" wrapText="1"/>
    </xf>
    <xf numFmtId="43" fontId="3" fillId="6" borderId="0" xfId="73" applyFont="1" applyFill="1" applyBorder="1" applyAlignment="1"/>
    <xf numFmtId="0" fontId="30" fillId="6" borderId="0" xfId="0" applyFont="1" applyFill="1" applyBorder="1" applyAlignment="1">
      <alignment horizontal="justify" wrapText="1"/>
    </xf>
    <xf numFmtId="0" fontId="30" fillId="6" borderId="0" xfId="0" applyFont="1" applyFill="1" applyBorder="1" applyAlignment="1">
      <alignment horizontal="center"/>
    </xf>
    <xf numFmtId="0" fontId="28" fillId="6" borderId="0" xfId="0" applyFont="1" applyFill="1" applyBorder="1" applyAlignment="1">
      <alignment horizontal="center" vertical="top"/>
    </xf>
    <xf numFmtId="0" fontId="30" fillId="6" borderId="0" xfId="0" applyFont="1" applyFill="1" applyBorder="1" applyAlignment="1">
      <alignment horizontal="center" vertical="top"/>
    </xf>
    <xf numFmtId="0" fontId="30" fillId="6" borderId="0" xfId="0" quotePrefix="1" applyFont="1" applyFill="1" applyBorder="1" applyAlignment="1">
      <alignment horizontal="center" vertical="top"/>
    </xf>
    <xf numFmtId="0" fontId="2" fillId="0" borderId="0" xfId="0" applyNumberFormat="1" applyFont="1" applyFill="1" applyBorder="1" applyAlignment="1">
      <alignment vertical="center"/>
    </xf>
    <xf numFmtId="0" fontId="2" fillId="0" borderId="0" xfId="89" applyNumberFormat="1" applyFont="1" applyFill="1" applyAlignment="1">
      <alignment horizontal="center" vertical="center"/>
    </xf>
    <xf numFmtId="0" fontId="28" fillId="0" borderId="0" xfId="0" applyFont="1" applyFill="1" applyBorder="1" applyAlignment="1">
      <alignment horizontal="center" vertical="center"/>
    </xf>
    <xf numFmtId="164" fontId="28" fillId="0" borderId="0" xfId="73" applyNumberFormat="1" applyFont="1" applyFill="1" applyBorder="1" applyAlignment="1">
      <alignment horizontal="center" vertical="center"/>
    </xf>
    <xf numFmtId="0" fontId="3" fillId="0" borderId="0" xfId="0" applyFont="1" applyFill="1" applyAlignment="1">
      <alignment horizontal="left"/>
    </xf>
    <xf numFmtId="0" fontId="3" fillId="0" borderId="0" xfId="0" applyFont="1" applyFill="1"/>
    <xf numFmtId="164" fontId="3" fillId="0" borderId="0" xfId="89" applyNumberFormat="1" applyFont="1" applyFill="1"/>
    <xf numFmtId="0" fontId="30" fillId="0" borderId="0" xfId="0" applyFont="1" applyFill="1" applyBorder="1" applyAlignment="1">
      <alignment horizontal="justify" wrapText="1"/>
    </xf>
    <xf numFmtId="0" fontId="28" fillId="0" borderId="0" xfId="0" applyFont="1" applyFill="1" applyAlignment="1">
      <alignment horizontal="center"/>
    </xf>
    <xf numFmtId="0" fontId="28" fillId="0" borderId="0" xfId="0" applyFont="1" applyFill="1"/>
    <xf numFmtId="164" fontId="28" fillId="0" borderId="0" xfId="89" applyNumberFormat="1" applyFont="1" applyFill="1"/>
    <xf numFmtId="0" fontId="39" fillId="0" borderId="0" xfId="0" applyFont="1" applyFill="1" applyAlignment="1">
      <alignment horizontal="center"/>
    </xf>
    <xf numFmtId="0" fontId="39" fillId="0" borderId="0" xfId="0" applyFont="1" applyFill="1"/>
    <xf numFmtId="9" fontId="39" fillId="0" borderId="0" xfId="171" applyFont="1" applyFill="1" applyAlignment="1">
      <alignment horizontal="right"/>
    </xf>
    <xf numFmtId="9" fontId="30" fillId="0" borderId="0" xfId="171" applyFont="1" applyFill="1" applyBorder="1" applyAlignment="1">
      <alignment horizontal="right" wrapText="1"/>
    </xf>
    <xf numFmtId="0" fontId="30" fillId="0" borderId="0" xfId="0" quotePrefix="1" applyFont="1" applyFill="1" applyAlignment="1">
      <alignment horizontal="center"/>
    </xf>
    <xf numFmtId="0" fontId="30" fillId="0" borderId="0" xfId="0" applyFont="1" applyFill="1"/>
    <xf numFmtId="10" fontId="30" fillId="0" borderId="0" xfId="171" applyNumberFormat="1" applyFont="1" applyFill="1" applyBorder="1" applyAlignment="1">
      <alignment horizontal="right" wrapText="1"/>
    </xf>
    <xf numFmtId="10" fontId="30" fillId="0" borderId="0" xfId="171" applyNumberFormat="1" applyFont="1" applyFill="1" applyAlignment="1">
      <alignment horizontal="right"/>
    </xf>
    <xf numFmtId="10" fontId="39" fillId="0" borderId="0" xfId="89" applyNumberFormat="1" applyFont="1" applyFill="1"/>
    <xf numFmtId="10" fontId="30" fillId="0" borderId="0" xfId="0" applyNumberFormat="1" applyFont="1" applyFill="1" applyBorder="1" applyAlignment="1">
      <alignment horizontal="justify" wrapText="1"/>
    </xf>
    <xf numFmtId="0" fontId="30" fillId="0" borderId="0" xfId="0" applyFont="1" applyFill="1" applyAlignment="1">
      <alignment horizontal="center"/>
    </xf>
    <xf numFmtId="43" fontId="30" fillId="0" borderId="0" xfId="73" applyFont="1" applyFill="1" applyBorder="1" applyAlignment="1">
      <alignment horizontal="justify" wrapText="1"/>
    </xf>
    <xf numFmtId="43" fontId="28" fillId="0" borderId="0" xfId="73" applyFont="1" applyFill="1" applyBorder="1" applyAlignment="1">
      <alignment horizontal="center" vertical="center"/>
    </xf>
    <xf numFmtId="43" fontId="30" fillId="0" borderId="0" xfId="73" applyFont="1" applyFill="1"/>
    <xf numFmtId="164" fontId="39" fillId="0" borderId="0" xfId="89" applyNumberFormat="1" applyFont="1" applyFill="1"/>
    <xf numFmtId="1" fontId="3" fillId="0" borderId="18" xfId="73" applyNumberFormat="1" applyFont="1" applyFill="1" applyBorder="1" applyAlignment="1">
      <alignment horizontal="center"/>
    </xf>
    <xf numFmtId="1" fontId="3" fillId="0" borderId="19" xfId="73" applyNumberFormat="1" applyFont="1" applyFill="1" applyBorder="1" applyAlignment="1">
      <alignment horizontal="center"/>
    </xf>
    <xf numFmtId="164" fontId="30" fillId="0" borderId="19" xfId="88" applyNumberFormat="1" applyFont="1" applyFill="1" applyBorder="1"/>
    <xf numFmtId="164" fontId="30" fillId="0" borderId="37" xfId="88" applyNumberFormat="1" applyFont="1" applyFill="1" applyBorder="1"/>
    <xf numFmtId="164" fontId="63" fillId="0" borderId="19" xfId="73" applyNumberFormat="1" applyFont="1" applyFill="1" applyBorder="1"/>
    <xf numFmtId="164" fontId="39" fillId="0" borderId="0" xfId="0" applyNumberFormat="1" applyFont="1" applyFill="1"/>
    <xf numFmtId="0" fontId="30" fillId="0" borderId="21" xfId="0" applyFont="1" applyFill="1" applyBorder="1" applyAlignment="1">
      <alignment horizontal="right"/>
    </xf>
    <xf numFmtId="164" fontId="26" fillId="6" borderId="0" xfId="73" applyNumberFormat="1" applyFont="1" applyFill="1"/>
    <xf numFmtId="164" fontId="28" fillId="23" borderId="0" xfId="73" applyNumberFormat="1" applyFont="1" applyFill="1" applyAlignment="1">
      <alignment horizontal="right"/>
    </xf>
    <xf numFmtId="164" fontId="27" fillId="6" borderId="0" xfId="73" applyNumberFormat="1" applyFont="1" applyFill="1" applyAlignment="1"/>
    <xf numFmtId="164" fontId="28" fillId="6" borderId="0" xfId="73" applyNumberFormat="1" applyFont="1" applyFill="1" applyAlignment="1"/>
    <xf numFmtId="164" fontId="39" fillId="23" borderId="0" xfId="73" applyNumberFormat="1" applyFont="1" applyFill="1" applyAlignment="1">
      <alignment horizontal="right"/>
    </xf>
    <xf numFmtId="164" fontId="63" fillId="15" borderId="12" xfId="73" applyNumberFormat="1" applyFont="1" applyFill="1" applyBorder="1"/>
    <xf numFmtId="164" fontId="63" fillId="23" borderId="18" xfId="73" applyNumberFormat="1" applyFont="1" applyFill="1" applyBorder="1"/>
    <xf numFmtId="164" fontId="63" fillId="15" borderId="12" xfId="73" quotePrefix="1" applyNumberFormat="1" applyFont="1" applyFill="1" applyBorder="1" applyAlignment="1">
      <alignment horizontal="left"/>
    </xf>
    <xf numFmtId="164" fontId="63" fillId="15" borderId="18" xfId="73" applyNumberFormat="1" applyFont="1" applyFill="1" applyBorder="1"/>
    <xf numFmtId="164" fontId="3" fillId="15" borderId="0" xfId="73" applyNumberFormat="1" applyFont="1" applyFill="1"/>
    <xf numFmtId="164" fontId="63" fillId="15" borderId="15" xfId="73" applyNumberFormat="1" applyFont="1" applyFill="1" applyBorder="1"/>
    <xf numFmtId="164" fontId="86" fillId="13" borderId="2" xfId="73" applyNumberFormat="1" applyFont="1" applyFill="1" applyBorder="1"/>
    <xf numFmtId="164" fontId="86" fillId="23" borderId="2" xfId="73" applyNumberFormat="1" applyFont="1" applyFill="1" applyBorder="1"/>
    <xf numFmtId="164" fontId="1" fillId="23" borderId="0" xfId="73" applyNumberFormat="1" applyFill="1"/>
    <xf numFmtId="0" fontId="30" fillId="0" borderId="18" xfId="0" applyFont="1" applyFill="1" applyBorder="1" applyAlignment="1">
      <alignment wrapText="1"/>
    </xf>
    <xf numFmtId="166" fontId="158" fillId="0" borderId="0" xfId="86" applyNumberFormat="1" applyFont="1" applyBorder="1"/>
    <xf numFmtId="164" fontId="132" fillId="0" borderId="0" xfId="73" applyNumberFormat="1" applyFont="1" applyFill="1" applyBorder="1"/>
    <xf numFmtId="166" fontId="34" fillId="0" borderId="0" xfId="86" applyNumberFormat="1" applyFont="1" applyBorder="1"/>
    <xf numFmtId="166" fontId="154" fillId="0" borderId="0" xfId="86" applyNumberFormat="1" applyFont="1" applyBorder="1" applyAlignment="1">
      <alignment horizontal="left" vertical="center" wrapText="1"/>
    </xf>
    <xf numFmtId="0" fontId="154" fillId="0" borderId="0" xfId="86" quotePrefix="1" applyNumberFormat="1" applyFont="1" applyBorder="1" applyAlignment="1">
      <alignment horizontal="center"/>
    </xf>
    <xf numFmtId="166" fontId="153" fillId="0" borderId="0" xfId="86" applyNumberFormat="1" applyFont="1" applyBorder="1"/>
    <xf numFmtId="166" fontId="154" fillId="0" borderId="0" xfId="86" applyNumberFormat="1" applyFont="1" applyBorder="1"/>
    <xf numFmtId="166" fontId="154" fillId="0" borderId="0" xfId="86" applyNumberFormat="1" applyFont="1"/>
    <xf numFmtId="166" fontId="152" fillId="0" borderId="0" xfId="86" quotePrefix="1" applyNumberFormat="1" applyFont="1" applyBorder="1" applyAlignment="1">
      <alignment horizontal="left" vertical="center" wrapText="1"/>
    </xf>
    <xf numFmtId="0" fontId="152" fillId="0" borderId="0" xfId="86" quotePrefix="1" applyNumberFormat="1" applyFont="1" applyBorder="1" applyAlignment="1">
      <alignment horizontal="center"/>
    </xf>
    <xf numFmtId="166" fontId="152" fillId="0" borderId="0" xfId="86" applyNumberFormat="1" applyFont="1" applyBorder="1"/>
    <xf numFmtId="164" fontId="152" fillId="0" borderId="0" xfId="73" applyNumberFormat="1" applyFont="1" applyBorder="1"/>
    <xf numFmtId="166" fontId="152" fillId="0" borderId="0" xfId="86" applyNumberFormat="1" applyFont="1"/>
    <xf numFmtId="0" fontId="152" fillId="0" borderId="0" xfId="86" applyNumberFormat="1" applyFont="1" applyBorder="1" applyAlignment="1">
      <alignment horizontal="center" vertical="center" wrapText="1"/>
    </xf>
    <xf numFmtId="166" fontId="152" fillId="0" borderId="0" xfId="86" applyNumberFormat="1" applyFont="1" applyBorder="1" applyAlignment="1">
      <alignment horizontal="center" vertical="center" wrapText="1"/>
    </xf>
    <xf numFmtId="164" fontId="152" fillId="0" borderId="0" xfId="73" applyNumberFormat="1" applyFont="1" applyFill="1" applyBorder="1"/>
    <xf numFmtId="166" fontId="152" fillId="0" borderId="0" xfId="86" applyNumberFormat="1" applyFont="1" applyAlignment="1">
      <alignment horizontal="center" vertical="center" wrapText="1"/>
    </xf>
    <xf numFmtId="0" fontId="152" fillId="0" borderId="0" xfId="86" applyNumberFormat="1" applyFont="1" applyBorder="1" applyAlignment="1">
      <alignment horizontal="center"/>
    </xf>
    <xf numFmtId="0" fontId="151" fillId="0" borderId="0" xfId="86" applyNumberFormat="1" applyFont="1" applyBorder="1" applyAlignment="1">
      <alignment horizontal="center"/>
    </xf>
    <xf numFmtId="164" fontId="154" fillId="0" borderId="0" xfId="73" applyNumberFormat="1" applyFont="1" applyBorder="1"/>
    <xf numFmtId="166" fontId="151" fillId="0" borderId="0" xfId="86" applyNumberFormat="1" applyFont="1" applyBorder="1" applyAlignment="1">
      <alignment horizontal="left" vertical="center" wrapText="1"/>
    </xf>
    <xf numFmtId="166" fontId="152" fillId="0" borderId="0" xfId="86" applyNumberFormat="1" applyFont="1" applyBorder="1" applyAlignment="1">
      <alignment horizontal="left" vertical="center" wrapText="1"/>
    </xf>
    <xf numFmtId="164" fontId="159" fillId="0" borderId="0" xfId="73" applyNumberFormat="1" applyFont="1" applyFill="1" applyBorder="1"/>
    <xf numFmtId="0" fontId="153" fillId="0" borderId="0" xfId="86" applyNumberFormat="1" applyFont="1" applyBorder="1" applyAlignment="1">
      <alignment horizontal="center"/>
    </xf>
    <xf numFmtId="0" fontId="154" fillId="0" borderId="0" xfId="86" applyNumberFormat="1" applyFont="1" applyBorder="1" applyAlignment="1">
      <alignment horizontal="center"/>
    </xf>
    <xf numFmtId="41" fontId="154" fillId="0" borderId="0" xfId="83" applyFont="1" applyBorder="1"/>
    <xf numFmtId="166" fontId="151" fillId="0" borderId="0" xfId="86" applyNumberFormat="1" applyFont="1" applyBorder="1"/>
    <xf numFmtId="166" fontId="151" fillId="0" borderId="0" xfId="86" applyNumberFormat="1" applyFont="1"/>
    <xf numFmtId="166" fontId="152" fillId="0" borderId="0" xfId="86" applyNumberFormat="1" applyFont="1" applyBorder="1" applyAlignment="1">
      <alignment horizontal="center"/>
    </xf>
    <xf numFmtId="166" fontId="153" fillId="0" borderId="0" xfId="86" applyNumberFormat="1" applyFont="1" applyBorder="1" applyAlignment="1">
      <alignment horizontal="center"/>
    </xf>
    <xf numFmtId="166" fontId="151" fillId="0" borderId="0" xfId="86" applyNumberFormat="1" applyFont="1" applyBorder="1" applyAlignment="1">
      <alignment horizontal="center"/>
    </xf>
    <xf numFmtId="166" fontId="160" fillId="0" borderId="0" xfId="86" applyNumberFormat="1" applyFont="1" applyBorder="1" applyAlignment="1">
      <alignment horizontal="center"/>
    </xf>
    <xf numFmtId="164" fontId="154" fillId="0" borderId="0" xfId="73" applyNumberFormat="1" applyFont="1" applyFill="1" applyBorder="1"/>
    <xf numFmtId="41" fontId="151" fillId="0" borderId="0" xfId="83" applyFont="1" applyBorder="1"/>
    <xf numFmtId="164" fontId="152" fillId="6" borderId="0" xfId="73" applyNumberFormat="1" applyFont="1" applyFill="1" applyBorder="1" applyAlignment="1">
      <alignment horizontal="center" vertical="center"/>
    </xf>
    <xf numFmtId="164" fontId="120" fillId="24" borderId="0" xfId="73" applyNumberFormat="1" applyFont="1" applyFill="1" applyAlignment="1">
      <alignment vertical="center"/>
    </xf>
    <xf numFmtId="164" fontId="120" fillId="24" borderId="0" xfId="73" applyNumberFormat="1" applyFont="1" applyFill="1"/>
    <xf numFmtId="164" fontId="125" fillId="24" borderId="0" xfId="73" applyNumberFormat="1" applyFont="1" applyFill="1" applyAlignment="1">
      <alignment horizontal="center" vertical="center" wrapText="1"/>
    </xf>
    <xf numFmtId="164" fontId="121" fillId="24" borderId="0" xfId="73" applyNumberFormat="1" applyFont="1" applyFill="1"/>
    <xf numFmtId="164" fontId="119" fillId="24" borderId="0" xfId="73" applyNumberFormat="1" applyFont="1" applyFill="1"/>
    <xf numFmtId="164" fontId="149" fillId="24" borderId="0" xfId="73" applyNumberFormat="1" applyFont="1" applyFill="1"/>
    <xf numFmtId="164" fontId="122" fillId="24" borderId="0" xfId="73" applyNumberFormat="1" applyFont="1" applyFill="1"/>
    <xf numFmtId="164" fontId="121" fillId="24" borderId="0" xfId="73" applyNumberFormat="1" applyFont="1" applyFill="1" applyBorder="1"/>
    <xf numFmtId="164" fontId="63" fillId="0" borderId="25" xfId="73" applyNumberFormat="1" applyFont="1" applyFill="1" applyBorder="1" applyAlignment="1">
      <alignment wrapText="1"/>
    </xf>
    <xf numFmtId="0" fontId="30" fillId="0" borderId="0" xfId="0" applyFont="1" applyAlignment="1">
      <alignment horizontal="justify" wrapText="1"/>
    </xf>
    <xf numFmtId="0" fontId="51" fillId="0" borderId="0" xfId="0" applyFont="1"/>
    <xf numFmtId="0" fontId="161" fillId="0" borderId="0" xfId="0" applyFont="1"/>
    <xf numFmtId="0" fontId="38" fillId="0" borderId="0" xfId="0" applyFont="1" applyAlignment="1"/>
    <xf numFmtId="0" fontId="146" fillId="0" borderId="0" xfId="0" applyFont="1" applyAlignment="1">
      <alignment vertical="center"/>
    </xf>
    <xf numFmtId="0" fontId="161" fillId="0" borderId="0" xfId="0" applyFont="1" applyAlignment="1">
      <alignment vertical="center"/>
    </xf>
    <xf numFmtId="0" fontId="161" fillId="0" borderId="0" xfId="0" applyFont="1" applyAlignment="1">
      <alignment horizontal="right" vertical="center"/>
    </xf>
    <xf numFmtId="0" fontId="146" fillId="0" borderId="0" xfId="0" applyFont="1" applyAlignment="1">
      <alignment horizontal="right" vertical="center"/>
    </xf>
    <xf numFmtId="0" fontId="30" fillId="0" borderId="0" xfId="0" applyFont="1" applyBorder="1" applyAlignment="1">
      <alignment vertical="top"/>
    </xf>
    <xf numFmtId="0" fontId="38" fillId="0" borderId="0" xfId="0" applyFont="1" applyBorder="1" applyAlignment="1"/>
    <xf numFmtId="0" fontId="30" fillId="0" borderId="3" xfId="0" applyFont="1" applyBorder="1" applyAlignment="1">
      <alignment vertical="top"/>
    </xf>
    <xf numFmtId="0" fontId="38" fillId="0" borderId="3" xfId="0" applyFont="1" applyBorder="1" applyAlignment="1">
      <alignment vertical="top"/>
    </xf>
    <xf numFmtId="0" fontId="38" fillId="0" borderId="3" xfId="0" applyFont="1" applyBorder="1" applyAlignment="1"/>
    <xf numFmtId="0" fontId="28" fillId="0" borderId="0" xfId="0" applyFont="1" applyAlignment="1"/>
    <xf numFmtId="0" fontId="38" fillId="0" borderId="0" xfId="0" applyFont="1" applyFill="1" applyAlignment="1"/>
    <xf numFmtId="0" fontId="30" fillId="0" borderId="0" xfId="0" applyFont="1" applyFill="1" applyAlignment="1"/>
    <xf numFmtId="0" fontId="28" fillId="0" borderId="0" xfId="0" applyFont="1" applyFill="1" applyAlignment="1"/>
    <xf numFmtId="0" fontId="30" fillId="0" borderId="0" xfId="0" applyFont="1" applyFill="1" applyAlignment="1">
      <alignment vertical="top"/>
    </xf>
    <xf numFmtId="0" fontId="53" fillId="0" borderId="0" xfId="0" applyFont="1" applyFill="1" applyAlignment="1"/>
    <xf numFmtId="0" fontId="164" fillId="0" borderId="0" xfId="0" applyFont="1" applyFill="1" applyAlignment="1"/>
    <xf numFmtId="0" fontId="52" fillId="0" borderId="0" xfId="0" applyFont="1" applyAlignment="1"/>
    <xf numFmtId="0" fontId="164" fillId="0" borderId="0" xfId="0" applyFont="1" applyAlignment="1"/>
    <xf numFmtId="0" fontId="30" fillId="0" borderId="0" xfId="0" applyFont="1" applyAlignment="1"/>
    <xf numFmtId="0" fontId="165" fillId="0" borderId="0" xfId="0" applyFont="1" applyAlignment="1">
      <alignment vertical="top"/>
    </xf>
    <xf numFmtId="0" fontId="28" fillId="0" borderId="0" xfId="0" applyFont="1" applyBorder="1" applyAlignment="1"/>
    <xf numFmtId="0" fontId="28" fillId="0" borderId="3" xfId="0" applyFont="1" applyBorder="1" applyAlignment="1"/>
    <xf numFmtId="0" fontId="29" fillId="0" borderId="0" xfId="0" applyFont="1" applyAlignment="1"/>
    <xf numFmtId="0" fontId="52" fillId="0" borderId="0" xfId="0" applyFont="1" applyAlignment="1">
      <alignment horizontal="left"/>
    </xf>
    <xf numFmtId="0" fontId="164" fillId="0" borderId="0" xfId="0" applyFont="1" applyAlignment="1">
      <alignment horizontal="left"/>
    </xf>
    <xf numFmtId="0" fontId="164" fillId="0" borderId="0" xfId="0" applyFont="1"/>
    <xf numFmtId="0" fontId="30" fillId="0" borderId="0" xfId="0" applyFont="1" applyAlignment="1">
      <alignment horizontal="left"/>
    </xf>
    <xf numFmtId="0" fontId="38" fillId="0" borderId="0" xfId="0" applyFont="1" applyAlignment="1">
      <alignment horizontal="left"/>
    </xf>
    <xf numFmtId="0" fontId="30" fillId="0" borderId="0" xfId="0" applyFont="1" applyAlignment="1">
      <alignment horizontal="left" vertical="top"/>
    </xf>
    <xf numFmtId="0" fontId="29" fillId="0" borderId="0" xfId="0" applyFont="1" applyAlignment="1">
      <alignment horizontal="left" vertical="top"/>
    </xf>
    <xf numFmtId="0" fontId="166" fillId="0" borderId="0" xfId="0" applyFont="1" applyAlignment="1">
      <alignment horizontal="left"/>
    </xf>
    <xf numFmtId="0" fontId="167" fillId="0" borderId="0" xfId="0" applyFont="1" applyAlignment="1">
      <alignment horizontal="left"/>
    </xf>
    <xf numFmtId="0" fontId="167" fillId="0" borderId="0" xfId="0" applyFont="1"/>
    <xf numFmtId="0" fontId="162" fillId="0" borderId="0" xfId="0" applyFont="1" applyAlignment="1">
      <alignment horizontal="left"/>
    </xf>
    <xf numFmtId="0" fontId="163" fillId="0" borderId="0" xfId="0" applyFont="1" applyAlignment="1">
      <alignment horizontal="left"/>
    </xf>
    <xf numFmtId="0" fontId="26" fillId="0" borderId="0" xfId="0" applyFont="1" applyAlignment="1">
      <alignment horizontal="left"/>
    </xf>
    <xf numFmtId="0" fontId="28" fillId="0" borderId="0" xfId="0" applyFont="1" applyAlignment="1">
      <alignment horizontal="left"/>
    </xf>
    <xf numFmtId="0" fontId="169" fillId="0" borderId="0" xfId="0" applyFont="1" applyAlignment="1">
      <alignment horizontal="left"/>
    </xf>
    <xf numFmtId="0" fontId="29" fillId="0" borderId="0" xfId="0" applyFont="1" applyFill="1" applyAlignment="1">
      <alignment vertical="top"/>
    </xf>
    <xf numFmtId="0" fontId="31" fillId="0" borderId="4" xfId="0" applyFont="1" applyFill="1" applyBorder="1" applyAlignment="1">
      <alignment horizontal="center" vertical="center"/>
    </xf>
    <xf numFmtId="43" fontId="28" fillId="6" borderId="38" xfId="73" applyFont="1" applyFill="1" applyBorder="1" applyAlignment="1"/>
    <xf numFmtId="43" fontId="28" fillId="6" borderId="18" xfId="73" applyFont="1" applyFill="1" applyBorder="1" applyAlignment="1"/>
    <xf numFmtId="0" fontId="30" fillId="17" borderId="0" xfId="0" applyFont="1" applyFill="1"/>
    <xf numFmtId="43" fontId="30" fillId="17" borderId="18" xfId="73" applyFont="1" applyFill="1" applyBorder="1"/>
    <xf numFmtId="164" fontId="30" fillId="17" borderId="18" xfId="73" applyNumberFormat="1" applyFont="1" applyFill="1" applyBorder="1"/>
    <xf numFmtId="164" fontId="28" fillId="17" borderId="18" xfId="73" applyNumberFormat="1" applyFont="1" applyFill="1" applyBorder="1"/>
    <xf numFmtId="164" fontId="29" fillId="17" borderId="0" xfId="73" applyNumberFormat="1" applyFont="1" applyFill="1" applyBorder="1"/>
    <xf numFmtId="0" fontId="29" fillId="17" borderId="0" xfId="0" applyFont="1" applyFill="1" applyBorder="1"/>
    <xf numFmtId="164" fontId="30" fillId="17" borderId="0" xfId="73" applyNumberFormat="1" applyFont="1" applyFill="1" applyBorder="1"/>
    <xf numFmtId="164" fontId="30" fillId="20" borderId="18" xfId="73" applyNumberFormat="1" applyFont="1" applyFill="1" applyBorder="1"/>
    <xf numFmtId="164" fontId="30" fillId="0" borderId="18" xfId="73" applyNumberFormat="1" applyFont="1" applyFill="1" applyBorder="1"/>
    <xf numFmtId="164" fontId="30" fillId="15" borderId="18" xfId="73" applyNumberFormat="1" applyFont="1" applyFill="1" applyBorder="1"/>
    <xf numFmtId="164" fontId="122" fillId="0" borderId="0" xfId="73" applyNumberFormat="1" applyFont="1" applyFill="1" applyAlignment="1">
      <alignment horizontal="right" vertical="center" wrapText="1"/>
    </xf>
    <xf numFmtId="43" fontId="30" fillId="15" borderId="18" xfId="73" applyFont="1" applyFill="1" applyBorder="1"/>
    <xf numFmtId="164" fontId="28" fillId="15" borderId="18" xfId="73" applyNumberFormat="1" applyFont="1" applyFill="1" applyBorder="1"/>
    <xf numFmtId="164" fontId="29" fillId="15" borderId="0" xfId="73" applyNumberFormat="1" applyFont="1" applyFill="1" applyBorder="1"/>
    <xf numFmtId="0" fontId="29" fillId="15" borderId="0" xfId="0" applyFont="1" applyFill="1" applyBorder="1"/>
    <xf numFmtId="164" fontId="30" fillId="15" borderId="0" xfId="73" applyNumberFormat="1" applyFont="1" applyFill="1" applyBorder="1"/>
    <xf numFmtId="0" fontId="30" fillId="15" borderId="0" xfId="0" applyFont="1" applyFill="1"/>
    <xf numFmtId="164" fontId="122" fillId="0" borderId="0" xfId="73" applyNumberFormat="1" applyFont="1" applyFill="1" applyAlignment="1">
      <alignment horizontal="right" vertical="center"/>
    </xf>
    <xf numFmtId="164" fontId="122" fillId="0" borderId="0" xfId="73" applyNumberFormat="1" applyFont="1" applyFill="1" applyBorder="1" applyAlignment="1">
      <alignment horizontal="right" vertical="center"/>
    </xf>
    <xf numFmtId="164" fontId="52" fillId="20" borderId="18" xfId="73" applyNumberFormat="1" applyFont="1" applyFill="1" applyBorder="1"/>
    <xf numFmtId="164" fontId="121" fillId="0" borderId="0" xfId="73" applyNumberFormat="1" applyFont="1" applyFill="1" applyAlignment="1">
      <alignment horizontal="right" vertical="center"/>
    </xf>
    <xf numFmtId="164" fontId="122" fillId="0" borderId="3" xfId="73" applyNumberFormat="1" applyFont="1" applyFill="1" applyBorder="1" applyAlignment="1">
      <alignment horizontal="right" vertical="center"/>
    </xf>
    <xf numFmtId="164" fontId="121" fillId="0" borderId="10" xfId="73" applyNumberFormat="1" applyFont="1" applyFill="1" applyBorder="1" applyAlignment="1">
      <alignment horizontal="center" vertical="center" wrapText="1"/>
    </xf>
    <xf numFmtId="164" fontId="121" fillId="0" borderId="29" xfId="73" applyNumberFormat="1" applyFont="1" applyFill="1" applyBorder="1" applyAlignment="1">
      <alignment horizontal="center" vertical="center"/>
    </xf>
    <xf numFmtId="164" fontId="121" fillId="0" borderId="2" xfId="73" applyNumberFormat="1" applyFont="1" applyFill="1" applyBorder="1" applyAlignment="1">
      <alignment horizontal="center" vertical="center"/>
    </xf>
    <xf numFmtId="184" fontId="121" fillId="0" borderId="30" xfId="73" applyNumberFormat="1" applyFont="1" applyFill="1" applyBorder="1" applyAlignment="1">
      <alignment horizontal="right" vertical="center"/>
    </xf>
    <xf numFmtId="184" fontId="121" fillId="0" borderId="32" xfId="73" applyNumberFormat="1" applyFont="1" applyFill="1" applyBorder="1" applyAlignment="1">
      <alignment horizontal="right" vertical="center"/>
    </xf>
    <xf numFmtId="184" fontId="121" fillId="0" borderId="12" xfId="73" applyNumberFormat="1" applyFont="1" applyFill="1" applyBorder="1" applyAlignment="1">
      <alignment horizontal="right" vertical="center"/>
    </xf>
    <xf numFmtId="164" fontId="124" fillId="0" borderId="25" xfId="73" applyNumberFormat="1" applyFont="1" applyFill="1" applyBorder="1" applyAlignment="1">
      <alignment horizontal="right" vertical="center"/>
    </xf>
    <xf numFmtId="164" fontId="124" fillId="0" borderId="27" xfId="73" applyNumberFormat="1" applyFont="1" applyFill="1" applyBorder="1" applyAlignment="1">
      <alignment horizontal="right" vertical="center"/>
    </xf>
    <xf numFmtId="164" fontId="124" fillId="0" borderId="18" xfId="73" applyNumberFormat="1" applyFont="1" applyFill="1" applyBorder="1" applyAlignment="1">
      <alignment horizontal="right" vertical="center"/>
    </xf>
    <xf numFmtId="164" fontId="124" fillId="0" borderId="25" xfId="73" applyNumberFormat="1" applyFont="1" applyFill="1" applyBorder="1" applyAlignment="1">
      <alignment horizontal="center" vertical="center"/>
    </xf>
    <xf numFmtId="164" fontId="122" fillId="0" borderId="25" xfId="73" applyNumberFormat="1" applyFont="1" applyFill="1" applyBorder="1" applyAlignment="1">
      <alignment horizontal="right" vertical="center"/>
    </xf>
    <xf numFmtId="164" fontId="122" fillId="0" borderId="27" xfId="73" applyNumberFormat="1" applyFont="1" applyFill="1" applyBorder="1" applyAlignment="1">
      <alignment horizontal="right" vertical="center"/>
    </xf>
    <xf numFmtId="164" fontId="122" fillId="0" borderId="18" xfId="73" applyNumberFormat="1" applyFont="1" applyFill="1" applyBorder="1" applyAlignment="1">
      <alignment horizontal="right" vertical="center"/>
    </xf>
    <xf numFmtId="164" fontId="122" fillId="0" borderId="25" xfId="73" applyNumberFormat="1" applyFont="1" applyFill="1" applyBorder="1" applyAlignment="1">
      <alignment horizontal="center" vertical="center"/>
    </xf>
    <xf numFmtId="164" fontId="121" fillId="0" borderId="25" xfId="73" applyNumberFormat="1" applyFont="1" applyFill="1" applyBorder="1" applyAlignment="1">
      <alignment horizontal="right" vertical="center"/>
    </xf>
    <xf numFmtId="164" fontId="121" fillId="0" borderId="27" xfId="73" applyNumberFormat="1" applyFont="1" applyFill="1" applyBorder="1" applyAlignment="1">
      <alignment horizontal="right" vertical="center"/>
    </xf>
    <xf numFmtId="164" fontId="121" fillId="0" borderId="18" xfId="73" applyNumberFormat="1" applyFont="1" applyFill="1" applyBorder="1" applyAlignment="1">
      <alignment horizontal="right" vertical="center"/>
    </xf>
    <xf numFmtId="164" fontId="124" fillId="0" borderId="33" xfId="73" applyNumberFormat="1" applyFont="1" applyFill="1" applyBorder="1" applyAlignment="1">
      <alignment horizontal="right" vertical="center"/>
    </xf>
    <xf numFmtId="164" fontId="124" fillId="0" borderId="35" xfId="73" applyNumberFormat="1" applyFont="1" applyFill="1" applyBorder="1" applyAlignment="1">
      <alignment horizontal="right" vertical="center"/>
    </xf>
    <xf numFmtId="164" fontId="124" fillId="0" borderId="21" xfId="73" applyNumberFormat="1" applyFont="1" applyFill="1" applyBorder="1" applyAlignment="1">
      <alignment horizontal="right" vertical="center"/>
    </xf>
    <xf numFmtId="164" fontId="124" fillId="0" borderId="0" xfId="73" applyNumberFormat="1" applyFont="1" applyFill="1" applyBorder="1" applyAlignment="1">
      <alignment horizontal="right" vertical="center"/>
    </xf>
    <xf numFmtId="164" fontId="121" fillId="0" borderId="3" xfId="73" applyNumberFormat="1" applyFont="1" applyFill="1" applyBorder="1" applyAlignment="1">
      <alignment horizontal="right" vertical="center" wrapText="1"/>
    </xf>
    <xf numFmtId="164" fontId="121" fillId="0" borderId="0" xfId="73" applyNumberFormat="1" applyFont="1" applyFill="1" applyBorder="1" applyAlignment="1">
      <alignment horizontal="right" vertical="center" wrapText="1"/>
    </xf>
    <xf numFmtId="164" fontId="124" fillId="0" borderId="0" xfId="73" applyNumberFormat="1" applyFont="1" applyFill="1" applyAlignment="1">
      <alignment horizontal="right" vertical="center"/>
    </xf>
    <xf numFmtId="164" fontId="121" fillId="0" borderId="20" xfId="73" applyNumberFormat="1" applyFont="1" applyFill="1" applyBorder="1" applyAlignment="1">
      <alignment horizontal="right" vertical="center"/>
    </xf>
    <xf numFmtId="164" fontId="121" fillId="0" borderId="9" xfId="73" applyNumberFormat="1" applyFont="1" applyFill="1" applyBorder="1" applyAlignment="1">
      <alignment horizontal="center" vertical="center" wrapText="1"/>
    </xf>
    <xf numFmtId="164" fontId="121" fillId="0" borderId="26" xfId="73" applyNumberFormat="1" applyFont="1" applyFill="1" applyBorder="1" applyAlignment="1">
      <alignment vertical="center"/>
    </xf>
    <xf numFmtId="164" fontId="121" fillId="0" borderId="27" xfId="73" applyNumberFormat="1" applyFont="1" applyFill="1" applyBorder="1" applyAlignment="1">
      <alignment vertical="center"/>
    </xf>
    <xf numFmtId="164" fontId="121" fillId="0" borderId="18" xfId="73" applyNumberFormat="1" applyFont="1" applyFill="1" applyBorder="1" applyAlignment="1">
      <alignment vertical="center"/>
    </xf>
    <xf numFmtId="164" fontId="122" fillId="0" borderId="25" xfId="73" applyNumberFormat="1" applyFont="1" applyFill="1" applyBorder="1" applyAlignment="1">
      <alignment vertical="center"/>
    </xf>
    <xf numFmtId="164" fontId="122" fillId="0" borderId="27" xfId="73" applyNumberFormat="1" applyFont="1" applyFill="1" applyBorder="1" applyAlignment="1">
      <alignment vertical="center"/>
    </xf>
    <xf numFmtId="164" fontId="122" fillId="0" borderId="33" xfId="73" applyNumberFormat="1" applyFont="1" applyFill="1" applyBorder="1" applyAlignment="1">
      <alignment vertical="center"/>
    </xf>
    <xf numFmtId="164" fontId="122" fillId="0" borderId="35" xfId="73" applyNumberFormat="1" applyFont="1" applyFill="1" applyBorder="1" applyAlignment="1">
      <alignment vertical="center"/>
    </xf>
    <xf numFmtId="164" fontId="122" fillId="0" borderId="21" xfId="73" applyNumberFormat="1" applyFont="1" applyFill="1" applyBorder="1" applyAlignment="1">
      <alignment horizontal="right" vertical="center"/>
    </xf>
    <xf numFmtId="164" fontId="121" fillId="0" borderId="0" xfId="73" applyNumberFormat="1" applyFont="1" applyFill="1" applyAlignment="1">
      <alignment horizontal="right" vertical="center" wrapText="1"/>
    </xf>
    <xf numFmtId="164" fontId="123" fillId="0" borderId="0" xfId="73" applyNumberFormat="1" applyFont="1" applyFill="1" applyAlignment="1">
      <alignment horizontal="right" vertical="center"/>
    </xf>
    <xf numFmtId="164" fontId="121" fillId="0" borderId="0" xfId="73" applyNumberFormat="1" applyFont="1" applyFill="1" applyBorder="1" applyAlignment="1">
      <alignment horizontal="right" vertical="center"/>
    </xf>
    <xf numFmtId="164" fontId="122" fillId="0" borderId="0" xfId="73" applyNumberFormat="1" applyFont="1" applyFill="1" applyBorder="1" applyAlignment="1">
      <alignment horizontal="center" vertical="center" wrapText="1"/>
    </xf>
    <xf numFmtId="0" fontId="122" fillId="0" borderId="0" xfId="160" applyFont="1" applyFill="1" applyAlignment="1">
      <alignment horizontal="center" vertical="center"/>
    </xf>
    <xf numFmtId="164" fontId="30" fillId="0" borderId="0" xfId="73" applyNumberFormat="1" applyFont="1" applyFill="1" applyBorder="1" applyAlignment="1">
      <alignment horizontal="right" vertical="center"/>
    </xf>
    <xf numFmtId="0" fontId="39" fillId="6" borderId="0" xfId="160" applyFont="1" applyFill="1" applyBorder="1" applyAlignment="1">
      <alignment horizontal="center" vertical="center"/>
    </xf>
    <xf numFmtId="164" fontId="5" fillId="0" borderId="0" xfId="73" applyNumberFormat="1" applyFont="1" applyAlignment="1">
      <alignment horizontal="right"/>
    </xf>
    <xf numFmtId="0" fontId="63" fillId="0" borderId="0" xfId="0" applyFont="1" applyFill="1"/>
    <xf numFmtId="164" fontId="1" fillId="0" borderId="19" xfId="88" applyNumberFormat="1" applyFill="1" applyBorder="1"/>
    <xf numFmtId="41" fontId="1" fillId="0" borderId="0" xfId="0" applyNumberFormat="1" applyFont="1" applyAlignment="1"/>
    <xf numFmtId="164" fontId="1" fillId="0" borderId="0" xfId="73" applyNumberFormat="1" applyFont="1" applyAlignment="1">
      <alignment horizontal="right"/>
    </xf>
    <xf numFmtId="41" fontId="1" fillId="0" borderId="0" xfId="86" applyNumberFormat="1" applyFont="1" applyAlignment="1"/>
    <xf numFmtId="41" fontId="1" fillId="0" borderId="0" xfId="86" applyNumberFormat="1" applyFont="1"/>
    <xf numFmtId="41" fontId="1" fillId="18" borderId="0" xfId="86" applyNumberFormat="1" applyFont="1" applyFill="1"/>
    <xf numFmtId="41" fontId="1" fillId="4" borderId="0" xfId="86" applyNumberFormat="1" applyFont="1" applyFill="1"/>
    <xf numFmtId="41" fontId="1" fillId="21" borderId="0" xfId="86" applyNumberFormat="1" applyFont="1" applyFill="1"/>
    <xf numFmtId="41" fontId="1" fillId="2" borderId="0" xfId="86" applyNumberFormat="1" applyFont="1" applyFill="1"/>
    <xf numFmtId="41" fontId="1" fillId="13" borderId="0" xfId="86" applyNumberFormat="1" applyFont="1" applyFill="1"/>
    <xf numFmtId="41" fontId="1" fillId="22" borderId="0" xfId="86" applyNumberFormat="1" applyFont="1" applyFill="1"/>
    <xf numFmtId="164" fontId="122" fillId="0" borderId="3" xfId="73" quotePrefix="1" applyNumberFormat="1" applyFont="1" applyBorder="1" applyAlignment="1">
      <alignment horizontal="right"/>
    </xf>
    <xf numFmtId="164" fontId="86" fillId="0" borderId="0" xfId="73" applyNumberFormat="1" applyFont="1" applyBorder="1" applyAlignment="1">
      <alignment vertical="center" wrapText="1"/>
    </xf>
    <xf numFmtId="164" fontId="86" fillId="0" borderId="3" xfId="73" applyNumberFormat="1" applyFont="1" applyBorder="1" applyAlignment="1">
      <alignment horizontal="center" vertical="center" wrapText="1"/>
    </xf>
    <xf numFmtId="0" fontId="2" fillId="0" borderId="0" xfId="0" applyFont="1" applyBorder="1"/>
    <xf numFmtId="0" fontId="34" fillId="0" borderId="0" xfId="0" applyFont="1" applyBorder="1"/>
    <xf numFmtId="0" fontId="122" fillId="0" borderId="0" xfId="0" applyFont="1" applyAlignment="1">
      <alignment horizontal="left" vertical="top"/>
    </xf>
    <xf numFmtId="0" fontId="171" fillId="0" borderId="0" xfId="0" applyFont="1" applyAlignment="1">
      <alignment horizontal="left" vertical="top"/>
    </xf>
    <xf numFmtId="41" fontId="34" fillId="0" borderId="0" xfId="86" applyNumberFormat="1" applyFont="1" applyFill="1" applyAlignment="1"/>
    <xf numFmtId="41" fontId="1" fillId="0" borderId="0" xfId="0" applyNumberFormat="1" applyFont="1" applyFill="1" applyAlignment="1"/>
    <xf numFmtId="41" fontId="30" fillId="0" borderId="0" xfId="0" applyNumberFormat="1" applyFont="1" applyFill="1" applyAlignment="1"/>
    <xf numFmtId="41" fontId="30" fillId="0" borderId="3" xfId="0" applyNumberFormat="1" applyFont="1" applyFill="1" applyBorder="1" applyAlignment="1"/>
    <xf numFmtId="0" fontId="63" fillId="0" borderId="3" xfId="0" applyFont="1" applyFill="1" applyBorder="1"/>
    <xf numFmtId="164" fontId="63" fillId="0" borderId="0" xfId="73" applyNumberFormat="1" applyFont="1" applyFill="1" applyBorder="1" applyAlignment="1">
      <alignment horizontal="right"/>
    </xf>
    <xf numFmtId="164" fontId="63" fillId="0" borderId="0" xfId="73" applyNumberFormat="1" applyFont="1" applyFill="1" applyAlignment="1"/>
    <xf numFmtId="43" fontId="63" fillId="0" borderId="0" xfId="73" applyFont="1" applyFill="1"/>
    <xf numFmtId="166" fontId="63" fillId="0" borderId="0" xfId="86" applyNumberFormat="1" applyFont="1" applyFill="1"/>
    <xf numFmtId="49" fontId="124" fillId="6" borderId="0" xfId="0" applyNumberFormat="1" applyFont="1" applyFill="1" applyAlignment="1">
      <alignment horizontal="center" vertical="top"/>
    </xf>
    <xf numFmtId="0" fontId="124" fillId="6" borderId="0" xfId="0" quotePrefix="1" applyFont="1" applyFill="1" applyAlignment="1">
      <alignment horizontal="center" vertical="top" shrinkToFit="1"/>
    </xf>
    <xf numFmtId="0" fontId="124" fillId="6" borderId="0" xfId="0" quotePrefix="1" applyFont="1" applyFill="1" applyAlignment="1">
      <alignment horizontal="center" vertical="top"/>
    </xf>
    <xf numFmtId="49" fontId="121" fillId="6" borderId="3" xfId="73" applyNumberFormat="1" applyFont="1" applyFill="1" applyBorder="1" applyAlignment="1">
      <alignment horizontal="right" vertical="center" wrapText="1"/>
    </xf>
    <xf numFmtId="49" fontId="146" fillId="6" borderId="0" xfId="0" applyNumberFormat="1" applyFont="1" applyFill="1" applyBorder="1" applyAlignment="1">
      <alignment horizontal="left" vertical="center"/>
    </xf>
    <xf numFmtId="0" fontId="28" fillId="6" borderId="0" xfId="0" quotePrefix="1" applyFont="1" applyFill="1" applyBorder="1" applyAlignment="1">
      <alignment horizontal="center" vertical="center"/>
    </xf>
    <xf numFmtId="164" fontId="119" fillId="24" borderId="0" xfId="73" applyNumberFormat="1" applyFont="1" applyFill="1" applyBorder="1" applyAlignment="1"/>
    <xf numFmtId="164" fontId="121" fillId="24" borderId="0" xfId="73" applyNumberFormat="1" applyFont="1" applyFill="1" applyBorder="1" applyAlignment="1"/>
    <xf numFmtId="164" fontId="122" fillId="24" borderId="0" xfId="73" applyNumberFormat="1" applyFont="1" applyFill="1" applyBorder="1" applyAlignment="1"/>
    <xf numFmtId="164" fontId="120" fillId="24" borderId="0" xfId="73" applyNumberFormat="1" applyFont="1" applyFill="1" applyBorder="1" applyAlignment="1"/>
    <xf numFmtId="164" fontId="119" fillId="24" borderId="0" xfId="73" applyNumberFormat="1" applyFont="1" applyFill="1" applyBorder="1" applyAlignment="1">
      <alignment vertical="center"/>
    </xf>
    <xf numFmtId="164" fontId="121" fillId="24" borderId="0" xfId="73" applyNumberFormat="1" applyFont="1" applyFill="1" applyBorder="1" applyAlignment="1">
      <alignment horizontal="right"/>
    </xf>
    <xf numFmtId="164" fontId="143" fillId="0" borderId="0" xfId="73" applyNumberFormat="1" applyFont="1"/>
    <xf numFmtId="0" fontId="122" fillId="0" borderId="0" xfId="0" applyFont="1" applyFill="1" applyAlignment="1">
      <alignment vertical="justify"/>
    </xf>
    <xf numFmtId="37" fontId="28" fillId="6" borderId="18" xfId="73" applyNumberFormat="1" applyFont="1" applyFill="1" applyBorder="1" applyAlignment="1"/>
    <xf numFmtId="3" fontId="30" fillId="6" borderId="0" xfId="0" applyNumberFormat="1" applyFont="1" applyFill="1" applyBorder="1" applyAlignment="1">
      <alignment horizontal="right" vertical="center" wrapText="1"/>
    </xf>
    <xf numFmtId="3" fontId="0" fillId="0" borderId="0" xfId="0" applyNumberFormat="1"/>
    <xf numFmtId="41" fontId="5" fillId="0" borderId="0" xfId="86" applyNumberFormat="1" applyFont="1"/>
    <xf numFmtId="0" fontId="122" fillId="0" borderId="39" xfId="0" applyFont="1" applyBorder="1" applyAlignment="1"/>
    <xf numFmtId="164" fontId="122" fillId="0" borderId="40" xfId="73" applyNumberFormat="1" applyFont="1" applyBorder="1" applyAlignment="1"/>
    <xf numFmtId="0" fontId="122" fillId="0" borderId="41" xfId="0" applyFont="1" applyBorder="1" applyAlignment="1"/>
    <xf numFmtId="0" fontId="122" fillId="0" borderId="41" xfId="0" applyFont="1" applyBorder="1" applyAlignment="1">
      <alignment horizontal="center"/>
    </xf>
    <xf numFmtId="164" fontId="122" fillId="0" borderId="41" xfId="73" applyNumberFormat="1" applyFont="1" applyBorder="1" applyAlignment="1"/>
    <xf numFmtId="43" fontId="122" fillId="0" borderId="0" xfId="73" applyFont="1" applyBorder="1" applyAlignment="1"/>
    <xf numFmtId="0" fontId="54" fillId="0" borderId="3" xfId="0" applyFont="1" applyBorder="1" applyAlignment="1"/>
    <xf numFmtId="0" fontId="30" fillId="0" borderId="0" xfId="0" applyFont="1" applyAlignment="1">
      <alignment wrapText="1"/>
    </xf>
    <xf numFmtId="0" fontId="28" fillId="6" borderId="3" xfId="0" applyFont="1" applyFill="1" applyBorder="1" applyAlignment="1">
      <alignment horizontal="center" vertical="center" wrapText="1"/>
    </xf>
    <xf numFmtId="0" fontId="2" fillId="0" borderId="7" xfId="0" applyNumberFormat="1" applyFont="1" applyFill="1" applyBorder="1" applyAlignment="1">
      <alignment horizontal="center" vertical="center" wrapText="1"/>
    </xf>
    <xf numFmtId="0" fontId="122" fillId="6" borderId="38" xfId="0" applyNumberFormat="1" applyFont="1" applyFill="1" applyBorder="1" applyAlignment="1">
      <alignment horizontal="justify" vertical="top" wrapText="1"/>
    </xf>
    <xf numFmtId="0" fontId="122" fillId="6" borderId="38" xfId="0" applyFont="1" applyFill="1" applyBorder="1" applyAlignment="1">
      <alignment horizontal="justify" vertical="top"/>
    </xf>
    <xf numFmtId="164" fontId="122" fillId="6" borderId="38" xfId="73" applyNumberFormat="1" applyFont="1" applyFill="1" applyBorder="1" applyAlignment="1">
      <alignment horizontal="right" vertical="top" wrapText="1"/>
    </xf>
    <xf numFmtId="0" fontId="122" fillId="17" borderId="0" xfId="0" applyFont="1" applyFill="1" applyAlignment="1">
      <alignment horizontal="justify" vertical="top"/>
    </xf>
    <xf numFmtId="164" fontId="122" fillId="17" borderId="0" xfId="73" applyNumberFormat="1" applyFont="1" applyFill="1" applyBorder="1" applyAlignment="1">
      <alignment horizontal="justify" vertical="top"/>
    </xf>
    <xf numFmtId="0" fontId="122" fillId="17" borderId="0" xfId="0" applyFont="1" applyFill="1" applyBorder="1" applyAlignment="1">
      <alignment horizontal="justify" vertical="top"/>
    </xf>
    <xf numFmtId="164" fontId="122" fillId="13" borderId="0" xfId="73" applyNumberFormat="1" applyFont="1" applyFill="1" applyBorder="1" applyAlignment="1">
      <alignment horizontal="justify" vertical="top"/>
    </xf>
    <xf numFmtId="0" fontId="30" fillId="0" borderId="0" xfId="0" applyFont="1" applyAlignment="1">
      <alignment horizontal="justify" vertical="justify" wrapText="1"/>
    </xf>
    <xf numFmtId="0" fontId="121" fillId="6" borderId="0" xfId="0" applyNumberFormat="1" applyFont="1" applyFill="1" applyAlignment="1">
      <alignment horizontal="justify" vertical="top" wrapText="1"/>
    </xf>
    <xf numFmtId="0" fontId="3" fillId="0" borderId="0" xfId="0" applyFont="1" applyBorder="1" applyAlignment="1">
      <alignment vertical="top"/>
    </xf>
    <xf numFmtId="166" fontId="63" fillId="0" borderId="3" xfId="86" applyNumberFormat="1" applyFont="1" applyFill="1" applyBorder="1" applyAlignment="1"/>
    <xf numFmtId="166" fontId="63" fillId="0" borderId="0" xfId="86" applyNumberFormat="1" applyFont="1" applyFill="1" applyBorder="1" applyAlignment="1"/>
    <xf numFmtId="0" fontId="32" fillId="0" borderId="0" xfId="0" applyFont="1"/>
    <xf numFmtId="0" fontId="31" fillId="0" borderId="0" xfId="0" applyFont="1" applyAlignment="1">
      <alignment horizontal="right"/>
    </xf>
    <xf numFmtId="0" fontId="32" fillId="0" borderId="0" xfId="0" applyFont="1" applyAlignment="1"/>
    <xf numFmtId="0" fontId="32" fillId="0" borderId="0" xfId="0" applyFont="1" applyAlignment="1">
      <alignment vertical="top"/>
    </xf>
    <xf numFmtId="16" fontId="32" fillId="0" borderId="0" xfId="0" applyNumberFormat="1" applyFont="1" applyAlignment="1">
      <alignment vertical="top"/>
    </xf>
    <xf numFmtId="0" fontId="147" fillId="0" borderId="0" xfId="0" quotePrefix="1" applyFont="1" applyFill="1" applyAlignment="1">
      <alignment horizontal="right"/>
    </xf>
    <xf numFmtId="0" fontId="147" fillId="0" borderId="0" xfId="0" applyFont="1" applyFill="1" applyAlignment="1">
      <alignment horizontal="right"/>
    </xf>
    <xf numFmtId="0" fontId="32" fillId="0" borderId="0" xfId="0" applyFont="1" applyFill="1" applyAlignment="1">
      <alignment horizontal="right"/>
    </xf>
    <xf numFmtId="0" fontId="32" fillId="0" borderId="0" xfId="0" quotePrefix="1" applyFont="1" applyFill="1" applyAlignment="1">
      <alignment horizontal="right"/>
    </xf>
    <xf numFmtId="0" fontId="32" fillId="0" borderId="0" xfId="0" applyFont="1" applyAlignment="1">
      <alignment horizontal="right"/>
    </xf>
    <xf numFmtId="0" fontId="147" fillId="0" borderId="0" xfId="0" applyFont="1"/>
    <xf numFmtId="0" fontId="147" fillId="0" borderId="0" xfId="0" quotePrefix="1" applyFont="1" applyFill="1" applyAlignment="1">
      <alignment horizontal="right" vertical="top"/>
    </xf>
    <xf numFmtId="0" fontId="147" fillId="0" borderId="0" xfId="0" applyFont="1" applyAlignment="1">
      <alignment vertical="top"/>
    </xf>
    <xf numFmtId="0" fontId="147" fillId="0" borderId="0" xfId="0" applyFont="1" applyAlignment="1"/>
    <xf numFmtId="0" fontId="147" fillId="0" borderId="0" xfId="0" applyFont="1" applyAlignment="1">
      <alignment horizontal="right"/>
    </xf>
    <xf numFmtId="16" fontId="147" fillId="0" borderId="0" xfId="0" quotePrefix="1" applyNumberFormat="1" applyFont="1" applyFill="1" applyAlignment="1">
      <alignment horizontal="right"/>
    </xf>
    <xf numFmtId="17" fontId="147" fillId="0" borderId="0" xfId="0" applyNumberFormat="1" applyFont="1" applyAlignment="1">
      <alignment vertical="top"/>
    </xf>
    <xf numFmtId="164" fontId="123" fillId="0" borderId="0" xfId="73" applyNumberFormat="1" applyFont="1" applyFill="1" applyBorder="1"/>
    <xf numFmtId="164" fontId="124" fillId="17" borderId="0" xfId="73" applyNumberFormat="1" applyFont="1" applyFill="1" applyAlignment="1"/>
    <xf numFmtId="164" fontId="157" fillId="24" borderId="0" xfId="73" applyNumberFormat="1" applyFont="1" applyFill="1"/>
    <xf numFmtId="164" fontId="173" fillId="0" borderId="0" xfId="73" applyNumberFormat="1" applyFont="1" applyFill="1"/>
    <xf numFmtId="0" fontId="163" fillId="6" borderId="0" xfId="0" applyFont="1" applyFill="1" applyAlignment="1"/>
    <xf numFmtId="0" fontId="30" fillId="6" borderId="0" xfId="0" applyFont="1" applyFill="1" applyAlignment="1"/>
    <xf numFmtId="0" fontId="30" fillId="6" borderId="0" xfId="0" applyFont="1" applyFill="1" applyAlignment="1">
      <alignment horizontal="left" vertical="top"/>
    </xf>
    <xf numFmtId="0" fontId="30" fillId="6" borderId="0" xfId="0" applyFont="1" applyFill="1" applyAlignment="1">
      <alignment vertical="top"/>
    </xf>
    <xf numFmtId="0" fontId="39" fillId="6" borderId="0" xfId="0" applyFont="1" applyFill="1" applyAlignment="1"/>
    <xf numFmtId="164" fontId="121" fillId="0" borderId="0" xfId="73" applyNumberFormat="1" applyFont="1" applyFill="1" applyBorder="1"/>
    <xf numFmtId="41" fontId="3" fillId="17" borderId="0" xfId="73" applyNumberFormat="1" applyFont="1" applyFill="1" applyBorder="1" applyAlignment="1">
      <alignment horizontal="center"/>
    </xf>
    <xf numFmtId="41" fontId="3" fillId="18" borderId="0" xfId="73" applyNumberFormat="1" applyFont="1" applyFill="1" applyBorder="1" applyAlignment="1">
      <alignment horizontal="center"/>
    </xf>
    <xf numFmtId="41" fontId="3" fillId="4" borderId="0" xfId="73" applyNumberFormat="1" applyFont="1" applyFill="1" applyBorder="1" applyAlignment="1">
      <alignment horizontal="center"/>
    </xf>
    <xf numFmtId="41" fontId="3" fillId="21" borderId="0" xfId="73" applyNumberFormat="1" applyFont="1" applyFill="1" applyBorder="1" applyAlignment="1">
      <alignment horizontal="center"/>
    </xf>
    <xf numFmtId="41" fontId="3" fillId="2" borderId="0" xfId="73" applyNumberFormat="1" applyFont="1" applyFill="1" applyBorder="1" applyAlignment="1">
      <alignment horizontal="center"/>
    </xf>
    <xf numFmtId="41" fontId="3" fillId="17" borderId="0" xfId="73" applyNumberFormat="1" applyFont="1" applyFill="1" applyBorder="1" applyAlignment="1">
      <alignment horizontal="right" vertical="center"/>
    </xf>
    <xf numFmtId="41" fontId="3" fillId="18" borderId="0" xfId="73" applyNumberFormat="1" applyFont="1" applyFill="1" applyBorder="1" applyAlignment="1">
      <alignment horizontal="right" vertical="center"/>
    </xf>
    <xf numFmtId="41" fontId="3" fillId="4" borderId="0" xfId="73" applyNumberFormat="1" applyFont="1" applyFill="1" applyBorder="1" applyAlignment="1">
      <alignment horizontal="right" vertical="center"/>
    </xf>
    <xf numFmtId="41" fontId="3" fillId="21" borderId="0" xfId="73" applyNumberFormat="1" applyFont="1" applyFill="1" applyBorder="1" applyAlignment="1">
      <alignment horizontal="right" vertical="center"/>
    </xf>
    <xf numFmtId="41" fontId="3" fillId="2" borderId="0" xfId="73" applyNumberFormat="1" applyFont="1" applyFill="1" applyBorder="1" applyAlignment="1">
      <alignment horizontal="right" vertical="center"/>
    </xf>
    <xf numFmtId="41" fontId="5" fillId="17" borderId="0" xfId="86" applyNumberFormat="1" applyFont="1" applyFill="1" applyBorder="1" applyAlignment="1">
      <alignment horizontal="center"/>
    </xf>
    <xf numFmtId="41" fontId="5" fillId="18" borderId="0" xfId="86" applyNumberFormat="1" applyFont="1" applyFill="1" applyBorder="1" applyAlignment="1">
      <alignment horizontal="center"/>
    </xf>
    <xf numFmtId="41" fontId="5" fillId="4" borderId="0" xfId="86" applyNumberFormat="1" applyFont="1" applyFill="1" applyBorder="1" applyAlignment="1">
      <alignment horizontal="center"/>
    </xf>
    <xf numFmtId="41" fontId="5" fillId="21" borderId="0" xfId="86" applyNumberFormat="1" applyFont="1" applyFill="1" applyBorder="1" applyAlignment="1">
      <alignment horizontal="center"/>
    </xf>
    <xf numFmtId="41" fontId="5" fillId="2" borderId="0" xfId="86" applyNumberFormat="1" applyFont="1" applyFill="1" applyBorder="1" applyAlignment="1">
      <alignment horizontal="center"/>
    </xf>
    <xf numFmtId="41" fontId="5" fillId="18" borderId="0" xfId="86" applyNumberFormat="1" applyFont="1" applyFill="1"/>
    <xf numFmtId="41" fontId="5" fillId="13" borderId="0" xfId="86" applyNumberFormat="1" applyFont="1" applyFill="1"/>
    <xf numFmtId="41" fontId="5" fillId="22" borderId="0" xfId="86" applyNumberFormat="1" applyFont="1" applyFill="1"/>
    <xf numFmtId="41" fontId="3" fillId="17" borderId="0" xfId="86" applyNumberFormat="1" applyFont="1" applyFill="1" applyBorder="1" applyAlignment="1">
      <alignment horizontal="center"/>
    </xf>
    <xf numFmtId="41" fontId="3" fillId="18" borderId="0" xfId="86" applyNumberFormat="1" applyFont="1" applyFill="1" applyBorder="1" applyAlignment="1">
      <alignment horizontal="center"/>
    </xf>
    <xf numFmtId="41" fontId="3" fillId="4" borderId="0" xfId="86" applyNumberFormat="1" applyFont="1" applyFill="1" applyBorder="1" applyAlignment="1">
      <alignment horizontal="center"/>
    </xf>
    <xf numFmtId="41" fontId="3" fillId="21" borderId="0" xfId="86" applyNumberFormat="1" applyFont="1" applyFill="1" applyBorder="1" applyAlignment="1">
      <alignment horizontal="center"/>
    </xf>
    <xf numFmtId="41" fontId="3" fillId="2" borderId="0" xfId="86" applyNumberFormat="1" applyFont="1" applyFill="1" applyBorder="1" applyAlignment="1">
      <alignment horizontal="center"/>
    </xf>
    <xf numFmtId="41" fontId="3" fillId="17" borderId="0" xfId="73" applyNumberFormat="1" applyFont="1" applyFill="1"/>
    <xf numFmtId="41" fontId="3" fillId="0" borderId="0" xfId="86" quotePrefix="1" applyNumberFormat="1" applyFont="1" applyBorder="1" applyAlignment="1">
      <alignment horizontal="left" vertical="center"/>
    </xf>
    <xf numFmtId="41" fontId="3" fillId="0" borderId="0" xfId="86" applyNumberFormat="1" applyFont="1" applyBorder="1" applyAlignment="1">
      <alignment vertical="center" wrapText="1"/>
    </xf>
    <xf numFmtId="41" fontId="3" fillId="0" borderId="0" xfId="86" applyNumberFormat="1" applyFont="1" applyBorder="1" applyAlignment="1"/>
    <xf numFmtId="41" fontId="3" fillId="0" borderId="0" xfId="86" applyNumberFormat="1" applyFont="1" applyBorder="1" applyAlignment="1">
      <alignment horizontal="center" vertical="center"/>
    </xf>
    <xf numFmtId="41" fontId="3" fillId="0" borderId="0" xfId="86" applyNumberFormat="1" applyFont="1" applyBorder="1" applyAlignment="1">
      <alignment vertical="center"/>
    </xf>
    <xf numFmtId="0" fontId="3" fillId="0" borderId="0" xfId="0" applyFont="1" applyAlignment="1">
      <alignment horizontal="center" vertical="center"/>
    </xf>
    <xf numFmtId="41" fontId="3" fillId="0" borderId="0" xfId="86" applyNumberFormat="1" applyFont="1" applyBorder="1" applyAlignment="1">
      <alignment horizontal="center"/>
    </xf>
    <xf numFmtId="41" fontId="3" fillId="0" borderId="0" xfId="73" applyNumberFormat="1" applyFont="1" applyBorder="1" applyAlignment="1">
      <alignment horizontal="center"/>
    </xf>
    <xf numFmtId="164" fontId="3" fillId="0" borderId="0" xfId="87" applyNumberFormat="1" applyFont="1" applyBorder="1" applyAlignment="1">
      <alignment vertical="center"/>
    </xf>
    <xf numFmtId="41" fontId="3" fillId="0" borderId="0" xfId="86" applyNumberFormat="1" applyFont="1" applyBorder="1" applyAlignment="1">
      <alignment horizontal="left" vertical="center"/>
    </xf>
    <xf numFmtId="41" fontId="3" fillId="0" borderId="0" xfId="73" applyNumberFormat="1" applyFont="1" applyBorder="1" applyAlignment="1">
      <alignment horizontal="right" vertical="center"/>
    </xf>
    <xf numFmtId="41" fontId="5" fillId="0" borderId="0" xfId="86" quotePrefix="1" applyNumberFormat="1" applyFont="1" applyBorder="1" applyAlignment="1">
      <alignment horizontal="left" vertical="center"/>
    </xf>
    <xf numFmtId="41" fontId="5" fillId="0" borderId="0" xfId="86" quotePrefix="1" applyNumberFormat="1" applyFont="1" applyBorder="1" applyAlignment="1">
      <alignment vertical="center" wrapText="1"/>
    </xf>
    <xf numFmtId="41" fontId="5" fillId="0" borderId="0" xfId="86" quotePrefix="1" applyNumberFormat="1" applyFont="1" applyBorder="1" applyAlignment="1"/>
    <xf numFmtId="41" fontId="5" fillId="0" borderId="0" xfId="86" applyNumberFormat="1" applyFont="1" applyBorder="1" applyAlignment="1">
      <alignment horizontal="center" vertical="center"/>
    </xf>
    <xf numFmtId="41" fontId="5" fillId="0" borderId="0" xfId="86" quotePrefix="1" applyNumberFormat="1" applyFont="1" applyBorder="1" applyAlignment="1">
      <alignment vertical="center"/>
    </xf>
    <xf numFmtId="41" fontId="5" fillId="0" borderId="0" xfId="86" applyNumberFormat="1" applyFont="1" applyBorder="1" applyAlignment="1">
      <alignment horizontal="center"/>
    </xf>
    <xf numFmtId="41" fontId="5" fillId="0" borderId="0" xfId="73" applyNumberFormat="1" applyFont="1" applyBorder="1" applyAlignment="1">
      <alignment horizontal="center"/>
    </xf>
    <xf numFmtId="164" fontId="5" fillId="0" borderId="0" xfId="87" applyNumberFormat="1" applyFont="1" applyBorder="1" applyAlignment="1">
      <alignment vertical="center"/>
    </xf>
    <xf numFmtId="0" fontId="3" fillId="0" borderId="0" xfId="86" applyNumberFormat="1" applyFont="1" applyBorder="1" applyAlignment="1">
      <alignment horizontal="center" vertical="center"/>
    </xf>
    <xf numFmtId="41" fontId="3" fillId="0" borderId="0" xfId="86" applyNumberFormat="1" applyFont="1" applyBorder="1" applyAlignment="1">
      <alignment horizontal="left" vertical="center" wrapText="1"/>
    </xf>
    <xf numFmtId="41" fontId="3" fillId="0" borderId="0" xfId="86" applyNumberFormat="1" applyFont="1" applyAlignment="1">
      <alignment horizontal="center" vertical="center"/>
    </xf>
    <xf numFmtId="41" fontId="3" fillId="0" borderId="0" xfId="73" applyNumberFormat="1" applyFont="1"/>
    <xf numFmtId="43" fontId="3" fillId="0" borderId="0" xfId="87" applyNumberFormat="1" applyFont="1" applyBorder="1" applyAlignment="1">
      <alignment vertical="center"/>
    </xf>
    <xf numFmtId="41" fontId="3" fillId="0" borderId="0" xfId="73" applyNumberFormat="1" applyFont="1" applyBorder="1" applyAlignment="1">
      <alignment horizontal="center" vertical="center"/>
    </xf>
    <xf numFmtId="0" fontId="120" fillId="6" borderId="0" xfId="0" applyFont="1" applyFill="1" applyAlignment="1"/>
    <xf numFmtId="49" fontId="120" fillId="6" borderId="0" xfId="160" applyNumberFormat="1" applyFont="1" applyFill="1" applyAlignment="1">
      <alignment horizontal="left" vertical="center"/>
    </xf>
    <xf numFmtId="49" fontId="120" fillId="6" borderId="0" xfId="160" applyNumberFormat="1" applyFont="1" applyFill="1" applyAlignment="1">
      <alignment horizontal="left" vertical="center" wrapText="1"/>
    </xf>
    <xf numFmtId="0" fontId="120" fillId="6" borderId="0" xfId="160" applyFont="1" applyFill="1" applyAlignment="1">
      <alignment horizontal="center" vertical="center"/>
    </xf>
    <xf numFmtId="0" fontId="120" fillId="6" borderId="0" xfId="160" applyFont="1" applyFill="1" applyAlignment="1">
      <alignment horizontal="center" vertical="center" wrapText="1"/>
    </xf>
    <xf numFmtId="164" fontId="120" fillId="6" borderId="0" xfId="73" applyNumberFormat="1" applyFont="1" applyFill="1" applyBorder="1" applyAlignment="1">
      <alignment horizontal="right" vertical="center"/>
    </xf>
    <xf numFmtId="164" fontId="120" fillId="6" borderId="0" xfId="73" applyNumberFormat="1" applyFont="1" applyFill="1" applyBorder="1" applyAlignment="1">
      <alignment horizontal="center" vertical="center"/>
    </xf>
    <xf numFmtId="0" fontId="120" fillId="6" borderId="0" xfId="160" applyFont="1" applyFill="1" applyBorder="1" applyAlignment="1">
      <alignment horizontal="center" vertical="center"/>
    </xf>
    <xf numFmtId="49" fontId="121" fillId="6" borderId="42" xfId="0" applyNumberFormat="1" applyFont="1" applyFill="1" applyBorder="1" applyAlignment="1">
      <alignment horizontal="left" vertical="center"/>
    </xf>
    <xf numFmtId="164" fontId="122" fillId="6" borderId="43" xfId="73" applyNumberFormat="1" applyFont="1" applyFill="1" applyBorder="1" applyAlignment="1">
      <alignment horizontal="right" vertical="center"/>
    </xf>
    <xf numFmtId="49" fontId="120" fillId="6" borderId="42" xfId="0" applyNumberFormat="1" applyFont="1" applyFill="1" applyBorder="1" applyAlignment="1">
      <alignment horizontal="left" vertical="center"/>
    </xf>
    <xf numFmtId="49" fontId="122" fillId="6" borderId="42" xfId="0" applyNumberFormat="1" applyFont="1" applyFill="1" applyBorder="1" applyAlignment="1">
      <alignment horizontal="left" vertical="center"/>
    </xf>
    <xf numFmtId="164" fontId="121" fillId="6" borderId="43" xfId="73" applyNumberFormat="1" applyFont="1" applyFill="1" applyBorder="1" applyAlignment="1">
      <alignment horizontal="right" vertical="center"/>
    </xf>
    <xf numFmtId="164" fontId="122" fillId="6" borderId="43" xfId="73" applyNumberFormat="1" applyFont="1" applyFill="1" applyBorder="1" applyAlignment="1">
      <alignment horizontal="center" vertical="center"/>
    </xf>
    <xf numFmtId="49" fontId="120" fillId="6" borderId="39" xfId="0" quotePrefix="1" applyNumberFormat="1" applyFont="1" applyFill="1" applyBorder="1" applyAlignment="1">
      <alignment horizontal="left" vertical="center"/>
    </xf>
    <xf numFmtId="164" fontId="122" fillId="6" borderId="40" xfId="73" applyNumberFormat="1" applyFont="1" applyFill="1" applyBorder="1" applyAlignment="1">
      <alignment horizontal="right" vertical="center"/>
    </xf>
    <xf numFmtId="0" fontId="122" fillId="6" borderId="42" xfId="0" applyFont="1" applyFill="1" applyBorder="1" applyAlignment="1">
      <alignment horizontal="center" vertical="center"/>
    </xf>
    <xf numFmtId="0" fontId="122" fillId="6" borderId="39" xfId="0" applyFont="1" applyFill="1" applyBorder="1" applyAlignment="1">
      <alignment horizontal="center" vertical="center"/>
    </xf>
    <xf numFmtId="0" fontId="122" fillId="6" borderId="16" xfId="0" applyFont="1" applyFill="1" applyBorder="1" applyAlignment="1">
      <alignment horizontal="center" vertical="center"/>
    </xf>
    <xf numFmtId="0" fontId="121" fillId="6" borderId="39" xfId="0" applyFont="1" applyFill="1" applyBorder="1" applyAlignment="1">
      <alignment horizontal="center" vertical="center"/>
    </xf>
    <xf numFmtId="0" fontId="121" fillId="6" borderId="3" xfId="0" applyFont="1" applyFill="1" applyBorder="1" applyAlignment="1">
      <alignment horizontal="center" vertical="center"/>
    </xf>
    <xf numFmtId="0" fontId="121" fillId="6" borderId="40" xfId="0" applyFont="1" applyFill="1" applyBorder="1" applyAlignment="1">
      <alignment horizontal="center" vertical="center"/>
    </xf>
    <xf numFmtId="0" fontId="122" fillId="6" borderId="10" xfId="0" applyFont="1" applyFill="1" applyBorder="1" applyAlignment="1">
      <alignment horizontal="center" vertical="center"/>
    </xf>
    <xf numFmtId="164" fontId="121" fillId="6" borderId="10" xfId="73" applyNumberFormat="1" applyFont="1" applyFill="1" applyBorder="1" applyAlignment="1">
      <alignment horizontal="right" vertical="center"/>
    </xf>
    <xf numFmtId="164" fontId="122" fillId="6" borderId="42" xfId="73" applyNumberFormat="1" applyFont="1" applyFill="1" applyBorder="1" applyAlignment="1">
      <alignment horizontal="right" vertical="center"/>
    </xf>
    <xf numFmtId="164" fontId="121" fillId="6" borderId="42" xfId="0" applyNumberFormat="1" applyFont="1" applyFill="1" applyBorder="1" applyAlignment="1">
      <alignment horizontal="center" vertical="center"/>
    </xf>
    <xf numFmtId="164" fontId="121" fillId="6" borderId="42" xfId="73" applyNumberFormat="1" applyFont="1" applyFill="1" applyBorder="1" applyAlignment="1">
      <alignment horizontal="center" vertical="center"/>
    </xf>
    <xf numFmtId="164" fontId="122" fillId="6" borderId="16" xfId="73" applyNumberFormat="1" applyFont="1" applyFill="1" applyBorder="1" applyAlignment="1">
      <alignment horizontal="right" vertical="center"/>
    </xf>
    <xf numFmtId="164" fontId="122" fillId="6" borderId="4" xfId="73" applyNumberFormat="1" applyFont="1" applyFill="1" applyBorder="1" applyAlignment="1">
      <alignment horizontal="center" vertical="center"/>
    </xf>
    <xf numFmtId="164" fontId="122" fillId="6" borderId="39" xfId="73" applyNumberFormat="1" applyFont="1" applyFill="1" applyBorder="1" applyAlignment="1">
      <alignment horizontal="right" vertical="center"/>
    </xf>
    <xf numFmtId="0" fontId="3" fillId="0" borderId="3" xfId="0" applyFont="1" applyBorder="1" applyAlignment="1">
      <alignment vertical="top"/>
    </xf>
    <xf numFmtId="164" fontId="121" fillId="6" borderId="16" xfId="0" applyNumberFormat="1" applyFont="1" applyFill="1" applyBorder="1" applyAlignment="1">
      <alignment horizontal="center" vertical="center"/>
    </xf>
    <xf numFmtId="164" fontId="121" fillId="6" borderId="38" xfId="73" applyNumberFormat="1" applyFont="1" applyFill="1" applyBorder="1" applyAlignment="1">
      <alignment horizontal="right" vertical="center"/>
    </xf>
    <xf numFmtId="164" fontId="121" fillId="6" borderId="17" xfId="73" applyNumberFormat="1" applyFont="1" applyFill="1" applyBorder="1" applyAlignment="1">
      <alignment horizontal="right" vertical="center"/>
    </xf>
    <xf numFmtId="164" fontId="120" fillId="6" borderId="0" xfId="73" applyNumberFormat="1" applyFont="1" applyFill="1" applyAlignment="1">
      <alignment horizontal="right" vertical="center"/>
    </xf>
    <xf numFmtId="0" fontId="122" fillId="6" borderId="17" xfId="0" applyFont="1" applyFill="1" applyBorder="1" applyAlignment="1">
      <alignment horizontal="center" vertical="center"/>
    </xf>
    <xf numFmtId="164" fontId="120" fillId="0" borderId="0" xfId="73" applyNumberFormat="1" applyFont="1" applyFill="1" applyAlignment="1">
      <alignment horizontal="right" vertical="center"/>
    </xf>
    <xf numFmtId="49" fontId="121" fillId="6" borderId="0" xfId="160" applyNumberFormat="1" applyFont="1" applyFill="1" applyBorder="1" applyAlignment="1">
      <alignment horizontal="center" vertical="center"/>
    </xf>
    <xf numFmtId="0" fontId="122" fillId="6" borderId="0" xfId="160" applyFont="1" applyFill="1" applyBorder="1" applyAlignment="1">
      <alignment horizontal="right" vertical="center"/>
    </xf>
    <xf numFmtId="164" fontId="122" fillId="6" borderId="0" xfId="73" applyNumberFormat="1" applyFont="1" applyFill="1" applyAlignment="1">
      <alignment horizontal="center" vertical="center"/>
    </xf>
    <xf numFmtId="164" fontId="122" fillId="6" borderId="0" xfId="73" applyNumberFormat="1" applyFont="1" applyFill="1" applyAlignment="1">
      <alignment horizontal="left" vertical="center"/>
    </xf>
    <xf numFmtId="0" fontId="2" fillId="0" borderId="0" xfId="0" applyFont="1" applyBorder="1" applyAlignment="1">
      <alignment vertical="top"/>
    </xf>
    <xf numFmtId="0" fontId="28" fillId="0" borderId="0" xfId="0" applyFont="1" applyBorder="1" applyAlignment="1">
      <alignment vertical="center"/>
    </xf>
    <xf numFmtId="164" fontId="39" fillId="6" borderId="0" xfId="73" applyNumberFormat="1" applyFont="1" applyFill="1" applyBorder="1" applyAlignment="1">
      <alignment vertical="center"/>
    </xf>
    <xf numFmtId="49" fontId="28" fillId="6" borderId="0" xfId="73" applyNumberFormat="1" applyFont="1" applyFill="1" applyBorder="1" applyAlignment="1">
      <alignment horizontal="left" vertical="center"/>
    </xf>
    <xf numFmtId="164" fontId="30" fillId="6" borderId="0" xfId="0" applyNumberFormat="1" applyFont="1" applyFill="1" applyBorder="1" applyAlignment="1">
      <alignment horizontal="center" vertical="center"/>
    </xf>
    <xf numFmtId="49" fontId="30" fillId="6" borderId="0" xfId="73" applyNumberFormat="1" applyFont="1" applyFill="1" applyBorder="1" applyAlignment="1">
      <alignment horizontal="left" vertical="center" wrapText="1"/>
    </xf>
    <xf numFmtId="43" fontId="30" fillId="6" borderId="0" xfId="73" applyFont="1" applyFill="1" applyBorder="1" applyAlignment="1">
      <alignment horizontal="center" vertical="center"/>
    </xf>
    <xf numFmtId="164" fontId="52" fillId="6" borderId="0" xfId="73" applyNumberFormat="1" applyFont="1" applyFill="1" applyBorder="1" applyAlignment="1">
      <alignment horizontal="center" vertical="center"/>
    </xf>
    <xf numFmtId="43" fontId="52" fillId="6" borderId="0" xfId="73" applyFont="1" applyFill="1" applyBorder="1" applyAlignment="1">
      <alignment horizontal="center" vertical="center"/>
    </xf>
    <xf numFmtId="166" fontId="30" fillId="0" borderId="0" xfId="73" applyNumberFormat="1" applyFont="1" applyFill="1" applyAlignment="1">
      <alignment vertical="center"/>
    </xf>
    <xf numFmtId="164" fontId="30" fillId="17" borderId="0" xfId="73" applyNumberFormat="1" applyFont="1" applyFill="1" applyBorder="1" applyAlignment="1">
      <alignment horizontal="right" vertical="center"/>
    </xf>
    <xf numFmtId="49" fontId="28" fillId="6" borderId="3" xfId="0" applyNumberFormat="1" applyFont="1" applyFill="1" applyBorder="1" applyAlignment="1">
      <alignment horizontal="center" vertical="center" wrapText="1"/>
    </xf>
    <xf numFmtId="49" fontId="30" fillId="6" borderId="0" xfId="0" applyNumberFormat="1" applyFont="1" applyFill="1" applyBorder="1" applyAlignment="1">
      <alignment horizontal="justify" vertical="center" wrapText="1"/>
    </xf>
    <xf numFmtId="37" fontId="30" fillId="6" borderId="0" xfId="73" applyNumberFormat="1" applyFont="1" applyFill="1" applyBorder="1" applyAlignment="1">
      <alignment horizontal="right" vertical="center"/>
    </xf>
    <xf numFmtId="0" fontId="28" fillId="6" borderId="0" xfId="0" applyFont="1" applyFill="1" applyBorder="1" applyAlignment="1">
      <alignment horizontal="center" vertical="center" wrapText="1"/>
    </xf>
    <xf numFmtId="49" fontId="30" fillId="6" borderId="0" xfId="0" applyNumberFormat="1" applyFont="1" applyFill="1" applyBorder="1" applyAlignment="1">
      <alignment horizontal="center" vertical="center" wrapText="1"/>
    </xf>
    <xf numFmtId="0" fontId="28" fillId="17" borderId="0" xfId="0" applyFont="1" applyFill="1" applyBorder="1" applyAlignment="1">
      <alignment horizontal="center" vertical="center"/>
    </xf>
    <xf numFmtId="49" fontId="28" fillId="17" borderId="0" xfId="0" applyNumberFormat="1" applyFont="1" applyFill="1" applyBorder="1" applyAlignment="1">
      <alignment horizontal="left" vertical="center"/>
    </xf>
    <xf numFmtId="49" fontId="53" fillId="6" borderId="0" xfId="0" applyNumberFormat="1" applyFont="1" applyFill="1" applyBorder="1" applyAlignment="1">
      <alignment horizontal="left" vertical="center"/>
    </xf>
    <xf numFmtId="164" fontId="52" fillId="6" borderId="0" xfId="73" applyNumberFormat="1" applyFont="1" applyFill="1" applyBorder="1" applyAlignment="1">
      <alignment horizontal="left" vertical="center"/>
    </xf>
    <xf numFmtId="49" fontId="123" fillId="6" borderId="0" xfId="0" applyNumberFormat="1" applyFont="1" applyFill="1" applyBorder="1" applyAlignment="1">
      <alignment horizontal="left" vertical="center"/>
    </xf>
    <xf numFmtId="49" fontId="29" fillId="6" borderId="0" xfId="0" applyNumberFormat="1" applyFont="1" applyFill="1" applyBorder="1" applyAlignment="1">
      <alignment horizontal="left" vertical="center" wrapText="1"/>
    </xf>
    <xf numFmtId="0" fontId="30" fillId="0" borderId="0" xfId="0" applyFont="1" applyAlignment="1">
      <alignment vertical="top" wrapText="1"/>
    </xf>
    <xf numFmtId="0" fontId="30" fillId="0" borderId="0" xfId="0" applyFont="1" applyAlignment="1">
      <alignment vertical="justify" wrapText="1"/>
    </xf>
    <xf numFmtId="0" fontId="29" fillId="6" borderId="0" xfId="160" applyFont="1" applyFill="1" applyBorder="1" applyAlignment="1">
      <alignment horizontal="center" vertical="center"/>
    </xf>
    <xf numFmtId="164" fontId="29" fillId="6" borderId="0" xfId="73" applyNumberFormat="1" applyFont="1" applyFill="1" applyBorder="1" applyAlignment="1">
      <alignment horizontal="center" vertical="center"/>
    </xf>
    <xf numFmtId="0" fontId="30" fillId="17" borderId="0" xfId="0" applyFont="1" applyFill="1" applyAlignment="1">
      <alignment vertical="top" wrapText="1"/>
    </xf>
    <xf numFmtId="0" fontId="147" fillId="6" borderId="0" xfId="0" quotePrefix="1" applyFont="1" applyFill="1" applyAlignment="1">
      <alignment horizontal="right"/>
    </xf>
    <xf numFmtId="0" fontId="29" fillId="0" borderId="0" xfId="0" applyFont="1" applyFill="1" applyAlignment="1"/>
    <xf numFmtId="41" fontId="5" fillId="6" borderId="0" xfId="73" applyNumberFormat="1" applyFont="1" applyFill="1" applyBorder="1" applyAlignment="1">
      <alignment horizontal="center"/>
    </xf>
    <xf numFmtId="164" fontId="5" fillId="6" borderId="0" xfId="87" applyNumberFormat="1" applyFont="1" applyFill="1" applyBorder="1" applyAlignment="1">
      <alignment vertical="center"/>
    </xf>
    <xf numFmtId="49" fontId="120" fillId="6" borderId="0" xfId="160" quotePrefix="1" applyNumberFormat="1" applyFont="1" applyFill="1" applyAlignment="1">
      <alignment horizontal="left" vertical="center" wrapText="1"/>
    </xf>
    <xf numFmtId="49" fontId="123" fillId="6" borderId="0" xfId="160" quotePrefix="1" applyNumberFormat="1" applyFont="1" applyFill="1" applyAlignment="1">
      <alignment horizontal="left" vertical="center" wrapText="1"/>
    </xf>
    <xf numFmtId="0" fontId="123" fillId="6" borderId="0" xfId="160" applyFont="1" applyFill="1" applyAlignment="1">
      <alignment horizontal="center" vertical="center" wrapText="1"/>
    </xf>
    <xf numFmtId="0" fontId="123" fillId="6" borderId="0" xfId="160" applyFont="1" applyFill="1" applyBorder="1" applyAlignment="1">
      <alignment horizontal="center" vertical="center"/>
    </xf>
    <xf numFmtId="164" fontId="123" fillId="6" borderId="0" xfId="73" applyNumberFormat="1" applyFont="1" applyFill="1" applyAlignment="1">
      <alignment horizontal="right" vertical="center"/>
    </xf>
    <xf numFmtId="164" fontId="120" fillId="6" borderId="0" xfId="73" quotePrefix="1" applyNumberFormat="1" applyFont="1" applyFill="1" applyAlignment="1">
      <alignment horizontal="left" vertical="center"/>
    </xf>
    <xf numFmtId="164" fontId="120" fillId="6" borderId="0" xfId="73" applyNumberFormat="1" applyFont="1" applyFill="1" applyBorder="1" applyAlignment="1">
      <alignment horizontal="right" vertical="center" wrapText="1"/>
    </xf>
    <xf numFmtId="164" fontId="122" fillId="6" borderId="15" xfId="73" applyNumberFormat="1" applyFont="1" applyFill="1" applyBorder="1" applyAlignment="1">
      <alignment horizontal="center" vertical="center"/>
    </xf>
    <xf numFmtId="164" fontId="121" fillId="6" borderId="43" xfId="0" applyNumberFormat="1" applyFont="1" applyFill="1" applyBorder="1" applyAlignment="1">
      <alignment horizontal="center" vertical="center"/>
    </xf>
    <xf numFmtId="164" fontId="122" fillId="6" borderId="42" xfId="73" applyNumberFormat="1" applyFont="1" applyFill="1" applyBorder="1" applyAlignment="1">
      <alignment horizontal="center" vertical="center"/>
    </xf>
    <xf numFmtId="164" fontId="120" fillId="6" borderId="42" xfId="73" applyNumberFormat="1" applyFont="1" applyFill="1" applyBorder="1" applyAlignment="1">
      <alignment horizontal="center" vertical="center"/>
    </xf>
    <xf numFmtId="164" fontId="120" fillId="6" borderId="43" xfId="73" applyNumberFormat="1" applyFont="1" applyFill="1" applyBorder="1" applyAlignment="1">
      <alignment horizontal="right" vertical="center"/>
    </xf>
    <xf numFmtId="164" fontId="0" fillId="6" borderId="0" xfId="0" applyNumberFormat="1" applyFill="1"/>
    <xf numFmtId="49" fontId="120" fillId="6" borderId="0" xfId="73" applyNumberFormat="1" applyFont="1" applyFill="1" applyBorder="1" applyAlignment="1">
      <alignment horizontal="left" vertical="center"/>
    </xf>
    <xf numFmtId="0" fontId="30" fillId="17" borderId="0" xfId="160" quotePrefix="1" applyFont="1" applyFill="1" applyBorder="1" applyAlignment="1">
      <alignment horizontal="center" vertical="top"/>
    </xf>
    <xf numFmtId="0" fontId="30" fillId="17" borderId="0" xfId="160" applyFont="1" applyFill="1" applyBorder="1" applyAlignment="1">
      <alignment horizontal="center" vertical="center"/>
    </xf>
    <xf numFmtId="164" fontId="30" fillId="17" borderId="0" xfId="0" applyNumberFormat="1" applyFont="1" applyFill="1" applyBorder="1" applyAlignment="1">
      <alignment horizontal="center" vertical="center" wrapText="1"/>
    </xf>
    <xf numFmtId="0" fontId="30" fillId="17" borderId="0" xfId="160" applyFont="1" applyFill="1" applyBorder="1" applyAlignment="1">
      <alignment horizontal="right" vertical="center"/>
    </xf>
    <xf numFmtId="0" fontId="29" fillId="17" borderId="0" xfId="160" quotePrefix="1" applyFont="1" applyFill="1" applyBorder="1" applyAlignment="1">
      <alignment horizontal="center" vertical="top"/>
    </xf>
    <xf numFmtId="0" fontId="29" fillId="17" borderId="0" xfId="160" applyFont="1" applyFill="1" applyBorder="1" applyAlignment="1">
      <alignment horizontal="center" vertical="center"/>
    </xf>
    <xf numFmtId="164" fontId="29" fillId="17" borderId="0" xfId="73" applyNumberFormat="1" applyFont="1" applyFill="1" applyBorder="1" applyAlignment="1">
      <alignment horizontal="right" vertical="center"/>
    </xf>
    <xf numFmtId="0" fontId="29" fillId="17" borderId="0" xfId="160" applyFont="1" applyFill="1" applyBorder="1" applyAlignment="1">
      <alignment horizontal="right" vertical="center"/>
    </xf>
    <xf numFmtId="166" fontId="30" fillId="17" borderId="0" xfId="73" applyNumberFormat="1" applyFont="1" applyFill="1" applyBorder="1" applyAlignment="1">
      <alignment vertical="center"/>
    </xf>
    <xf numFmtId="37" fontId="25" fillId="17" borderId="0" xfId="73" applyNumberFormat="1" applyFont="1" applyFill="1"/>
    <xf numFmtId="0" fontId="30" fillId="17" borderId="0" xfId="0" applyFont="1" applyFill="1" applyAlignment="1">
      <alignment vertical="justify" wrapText="1"/>
    </xf>
    <xf numFmtId="164" fontId="30" fillId="17" borderId="0" xfId="73" applyNumberFormat="1" applyFont="1" applyFill="1" applyAlignment="1">
      <alignment vertical="top" wrapText="1"/>
    </xf>
    <xf numFmtId="164" fontId="122" fillId="6" borderId="0" xfId="0" applyNumberFormat="1" applyFont="1" applyFill="1" applyBorder="1" applyAlignment="1">
      <alignment horizontal="center" vertical="center"/>
    </xf>
    <xf numFmtId="49" fontId="30" fillId="6" borderId="0" xfId="0" applyNumberFormat="1" applyFont="1" applyFill="1" applyBorder="1" applyAlignment="1">
      <alignment horizontal="center" vertical="center"/>
    </xf>
    <xf numFmtId="49" fontId="30" fillId="6" borderId="0" xfId="0" applyNumberFormat="1" applyFont="1" applyFill="1" applyBorder="1" applyAlignment="1">
      <alignment vertical="center" wrapText="1"/>
    </xf>
    <xf numFmtId="0" fontId="30" fillId="0" borderId="0" xfId="0" applyFont="1" applyAlignment="1">
      <alignment vertical="center" wrapText="1"/>
    </xf>
    <xf numFmtId="49" fontId="29" fillId="6" borderId="0" xfId="0" applyNumberFormat="1" applyFont="1" applyFill="1" applyBorder="1" applyAlignment="1">
      <alignment horizontal="center" vertical="center" wrapText="1"/>
    </xf>
    <xf numFmtId="164" fontId="29" fillId="6" borderId="0" xfId="73" applyNumberFormat="1" applyFont="1" applyFill="1" applyBorder="1" applyAlignment="1">
      <alignment horizontal="left" vertical="center"/>
    </xf>
    <xf numFmtId="1" fontId="54" fillId="0" borderId="18" xfId="0" applyNumberFormat="1" applyFont="1" applyFill="1" applyBorder="1" applyAlignment="1">
      <alignment horizontal="center"/>
    </xf>
    <xf numFmtId="0" fontId="54" fillId="0" borderId="18" xfId="0" applyFont="1" applyFill="1" applyBorder="1" applyAlignment="1">
      <alignment wrapText="1"/>
    </xf>
    <xf numFmtId="49" fontId="2" fillId="6" borderId="42" xfId="0" applyNumberFormat="1" applyFont="1" applyFill="1" applyBorder="1" applyAlignment="1">
      <alignment horizontal="left" vertical="center"/>
    </xf>
    <xf numFmtId="164" fontId="121" fillId="6" borderId="15" xfId="73" applyNumberFormat="1" applyFont="1" applyFill="1" applyBorder="1" applyAlignment="1">
      <alignment horizontal="center" vertical="center"/>
    </xf>
    <xf numFmtId="49" fontId="120" fillId="6" borderId="42" xfId="0" quotePrefix="1" applyNumberFormat="1" applyFont="1" applyFill="1" applyBorder="1" applyAlignment="1">
      <alignment horizontal="left" vertical="center"/>
    </xf>
    <xf numFmtId="164" fontId="120" fillId="6" borderId="15" xfId="73" applyNumberFormat="1" applyFont="1" applyFill="1" applyBorder="1" applyAlignment="1">
      <alignment horizontal="center" vertical="center"/>
    </xf>
    <xf numFmtId="164" fontId="122" fillId="6" borderId="39" xfId="73" applyNumberFormat="1" applyFont="1" applyFill="1" applyBorder="1" applyAlignment="1">
      <alignment horizontal="center" vertical="center"/>
    </xf>
    <xf numFmtId="164" fontId="122" fillId="6" borderId="3" xfId="73" applyNumberFormat="1" applyFont="1" applyFill="1" applyBorder="1" applyAlignment="1">
      <alignment horizontal="center" vertical="center"/>
    </xf>
    <xf numFmtId="0" fontId="30" fillId="0" borderId="0" xfId="0" applyFont="1" applyFill="1" applyAlignment="1">
      <alignment horizontal="justify" vertical="center" wrapText="1"/>
    </xf>
    <xf numFmtId="0" fontId="120" fillId="6" borderId="0" xfId="0" applyNumberFormat="1" applyFont="1" applyFill="1" applyAlignment="1">
      <alignment horizontal="justify" vertical="center" wrapText="1"/>
    </xf>
    <xf numFmtId="0" fontId="122" fillId="6" borderId="0" xfId="0" applyNumberFormat="1" applyFont="1" applyFill="1" applyAlignment="1">
      <alignment horizontal="justify" vertical="center" wrapText="1"/>
    </xf>
    <xf numFmtId="0" fontId="2" fillId="0" borderId="0" xfId="0" applyFont="1"/>
    <xf numFmtId="0" fontId="175" fillId="6" borderId="0" xfId="0" applyFont="1" applyFill="1" applyBorder="1" applyAlignment="1"/>
    <xf numFmtId="0" fontId="175" fillId="0" borderId="0" xfId="0" applyFont="1"/>
    <xf numFmtId="49" fontId="2" fillId="6" borderId="0" xfId="0" applyNumberFormat="1" applyFont="1" applyFill="1" applyBorder="1" applyAlignment="1">
      <alignment horizontal="left" vertical="center"/>
    </xf>
    <xf numFmtId="49" fontId="2" fillId="6" borderId="25" xfId="0" applyNumberFormat="1" applyFont="1" applyFill="1" applyBorder="1" applyAlignment="1">
      <alignment horizontal="left" vertical="center"/>
    </xf>
    <xf numFmtId="0" fontId="2" fillId="0" borderId="7" xfId="86" applyNumberFormat="1" applyFont="1" applyBorder="1" applyAlignment="1">
      <alignment horizontal="center"/>
    </xf>
    <xf numFmtId="0" fontId="2" fillId="0" borderId="0" xfId="0" applyFont="1" applyFill="1" applyBorder="1" applyAlignment="1"/>
    <xf numFmtId="0" fontId="5" fillId="0" borderId="0" xfId="0" applyFont="1"/>
    <xf numFmtId="49" fontId="5" fillId="6" borderId="0" xfId="0" applyNumberFormat="1" applyFont="1" applyFill="1" applyBorder="1" applyAlignment="1">
      <alignment horizontal="left" vertical="center"/>
    </xf>
    <xf numFmtId="49" fontId="5" fillId="6" borderId="25" xfId="0" applyNumberFormat="1" applyFont="1" applyFill="1" applyBorder="1" applyAlignment="1">
      <alignment horizontal="left" vertical="center"/>
    </xf>
    <xf numFmtId="0" fontId="5" fillId="6" borderId="0" xfId="0" applyNumberFormat="1" applyFont="1" applyFill="1" applyAlignment="1">
      <alignment horizontal="justify" vertical="top" wrapText="1"/>
    </xf>
    <xf numFmtId="166" fontId="5" fillId="0" borderId="0" xfId="86" applyNumberFormat="1" applyFont="1" applyBorder="1" applyAlignment="1">
      <alignment horizontal="left" vertical="center" wrapText="1"/>
    </xf>
    <xf numFmtId="41" fontId="5" fillId="0" borderId="0" xfId="86" applyNumberFormat="1" applyFont="1" applyBorder="1" applyAlignment="1">
      <alignment vertical="center" wrapText="1"/>
    </xf>
    <xf numFmtId="0" fontId="5" fillId="0" borderId="0" xfId="0" applyFont="1" applyFill="1" applyBorder="1" applyAlignment="1"/>
    <xf numFmtId="49" fontId="120" fillId="6" borderId="42" xfId="0" applyNumberFormat="1" applyFont="1" applyFill="1" applyBorder="1" applyAlignment="1">
      <alignment horizontal="justify" vertical="center" wrapText="1"/>
    </xf>
    <xf numFmtId="0" fontId="0" fillId="0" borderId="0" xfId="0" applyBorder="1" applyAlignment="1">
      <alignment horizontal="justify" vertical="center" wrapText="1"/>
    </xf>
    <xf numFmtId="0" fontId="39" fillId="0" borderId="0" xfId="0" applyFont="1" applyFill="1" applyAlignment="1"/>
    <xf numFmtId="0" fontId="25" fillId="0" borderId="0" xfId="0" applyFont="1" applyFill="1" applyAlignment="1"/>
    <xf numFmtId="0" fontId="13" fillId="0" borderId="0" xfId="0" applyFont="1" applyFill="1" applyAlignment="1"/>
    <xf numFmtId="0" fontId="120" fillId="6" borderId="0" xfId="0" applyFont="1" applyFill="1" applyAlignment="1">
      <alignment horizontal="center" vertical="top" shrinkToFit="1"/>
    </xf>
    <xf numFmtId="0" fontId="29" fillId="6" borderId="0" xfId="0" applyFont="1" applyFill="1" applyAlignment="1">
      <alignment vertical="center" wrapText="1"/>
    </xf>
    <xf numFmtId="41" fontId="5" fillId="0" borderId="0" xfId="86" applyNumberFormat="1" applyFont="1" applyBorder="1" applyAlignment="1">
      <alignment horizontal="left" vertical="center"/>
    </xf>
    <xf numFmtId="41" fontId="5" fillId="17" borderId="0" xfId="73" applyNumberFormat="1" applyFont="1" applyFill="1" applyBorder="1" applyAlignment="1">
      <alignment horizontal="center"/>
    </xf>
    <xf numFmtId="41" fontId="5" fillId="18" borderId="0" xfId="73" applyNumberFormat="1" applyFont="1" applyFill="1" applyBorder="1" applyAlignment="1">
      <alignment horizontal="center"/>
    </xf>
    <xf numFmtId="41" fontId="5" fillId="4" borderId="0" xfId="73" applyNumberFormat="1" applyFont="1" applyFill="1" applyBorder="1" applyAlignment="1">
      <alignment horizontal="center"/>
    </xf>
    <xf numFmtId="41" fontId="5" fillId="21" borderId="0" xfId="73" applyNumberFormat="1" applyFont="1" applyFill="1" applyBorder="1" applyAlignment="1">
      <alignment horizontal="center"/>
    </xf>
    <xf numFmtId="41" fontId="5" fillId="2" borderId="0" xfId="73" applyNumberFormat="1" applyFont="1" applyFill="1" applyBorder="1" applyAlignment="1">
      <alignment horizontal="center"/>
    </xf>
    <xf numFmtId="41" fontId="5" fillId="0" borderId="0" xfId="86" applyNumberFormat="1" applyFont="1" applyBorder="1" applyAlignment="1"/>
    <xf numFmtId="41" fontId="5" fillId="0" borderId="0" xfId="86" applyNumberFormat="1" applyFont="1" applyBorder="1" applyAlignment="1">
      <alignment vertical="center"/>
    </xf>
    <xf numFmtId="0" fontId="122" fillId="6" borderId="0" xfId="0" quotePrefix="1" applyFont="1" applyFill="1" applyAlignment="1">
      <alignment horizontal="left" vertical="top"/>
    </xf>
    <xf numFmtId="0" fontId="122" fillId="6" borderId="0" xfId="0" applyFont="1" applyFill="1" applyAlignment="1"/>
    <xf numFmtId="0" fontId="0" fillId="0" borderId="15" xfId="0" applyBorder="1" applyAlignment="1">
      <alignment horizontal="justify" vertical="center" wrapText="1"/>
    </xf>
    <xf numFmtId="164" fontId="123" fillId="6" borderId="0" xfId="73" applyNumberFormat="1" applyFont="1" applyFill="1" applyBorder="1" applyAlignment="1">
      <alignment horizontal="right" vertical="center" wrapText="1"/>
    </xf>
    <xf numFmtId="164" fontId="124" fillId="6" borderId="0" xfId="73" applyNumberFormat="1" applyFont="1" applyFill="1" applyAlignment="1">
      <alignment horizontal="right" vertical="center" wrapText="1"/>
    </xf>
    <xf numFmtId="164" fontId="124" fillId="6" borderId="0" xfId="73" applyNumberFormat="1" applyFont="1" applyFill="1" applyAlignment="1">
      <alignment horizontal="right" vertical="center"/>
    </xf>
    <xf numFmtId="49" fontId="120" fillId="6" borderId="0" xfId="160" quotePrefix="1" applyNumberFormat="1" applyFont="1" applyFill="1" applyAlignment="1">
      <alignment horizontal="left" vertical="center"/>
    </xf>
    <xf numFmtId="0" fontId="30" fillId="0" borderId="0" xfId="0" quotePrefix="1" applyFont="1" applyFill="1" applyBorder="1" applyAlignment="1">
      <alignment horizontal="left"/>
    </xf>
    <xf numFmtId="164" fontId="120" fillId="6" borderId="42" xfId="0" applyNumberFormat="1" applyFont="1" applyFill="1" applyBorder="1" applyAlignment="1">
      <alignment horizontal="center" vertical="center"/>
    </xf>
    <xf numFmtId="0" fontId="120" fillId="6" borderId="0" xfId="0" applyFont="1" applyFill="1" applyBorder="1" applyAlignment="1">
      <alignment horizontal="center" vertical="center"/>
    </xf>
    <xf numFmtId="164" fontId="120" fillId="6" borderId="0" xfId="0" applyNumberFormat="1" applyFont="1" applyFill="1" applyBorder="1" applyAlignment="1">
      <alignment horizontal="center" vertical="center"/>
    </xf>
    <xf numFmtId="164" fontId="120" fillId="6" borderId="43" xfId="0" applyNumberFormat="1" applyFont="1" applyFill="1" applyBorder="1" applyAlignment="1">
      <alignment horizontal="center" vertical="center"/>
    </xf>
    <xf numFmtId="164" fontId="120" fillId="6" borderId="42" xfId="73" applyNumberFormat="1" applyFont="1" applyFill="1" applyBorder="1" applyAlignment="1">
      <alignment horizontal="right" vertical="center"/>
    </xf>
    <xf numFmtId="164" fontId="120" fillId="6" borderId="43" xfId="73" applyNumberFormat="1" applyFont="1" applyFill="1" applyBorder="1" applyAlignment="1">
      <alignment horizontal="center" vertical="center"/>
    </xf>
    <xf numFmtId="49" fontId="120" fillId="6" borderId="0" xfId="0" quotePrefix="1" applyNumberFormat="1" applyFont="1" applyFill="1" applyBorder="1" applyAlignment="1">
      <alignment horizontal="left" vertical="center"/>
    </xf>
    <xf numFmtId="49" fontId="123" fillId="6" borderId="0" xfId="0" quotePrefix="1" applyNumberFormat="1" applyFont="1" applyFill="1" applyBorder="1" applyAlignment="1">
      <alignment horizontal="left" vertical="center"/>
    </xf>
    <xf numFmtId="49" fontId="120" fillId="6" borderId="0" xfId="0" applyNumberFormat="1" applyFont="1" applyFill="1" applyBorder="1" applyAlignment="1">
      <alignment horizontal="left" vertical="center"/>
    </xf>
    <xf numFmtId="49" fontId="121" fillId="6" borderId="0" xfId="73" applyNumberFormat="1" applyFont="1" applyFill="1" applyBorder="1" applyAlignment="1">
      <alignment horizontal="right" vertical="center" wrapText="1"/>
    </xf>
    <xf numFmtId="49" fontId="120" fillId="6" borderId="0" xfId="160" quotePrefix="1" applyNumberFormat="1" applyFont="1" applyFill="1" applyAlignment="1">
      <alignment vertical="center" wrapText="1"/>
    </xf>
    <xf numFmtId="49" fontId="123" fillId="6" borderId="0" xfId="160" applyNumberFormat="1" applyFont="1" applyFill="1" applyAlignment="1">
      <alignment horizontal="left" vertical="center"/>
    </xf>
    <xf numFmtId="49" fontId="123" fillId="6" borderId="0" xfId="160" quotePrefix="1" applyNumberFormat="1" applyFont="1" applyFill="1" applyAlignment="1">
      <alignment horizontal="left" vertical="center"/>
    </xf>
    <xf numFmtId="164" fontId="123" fillId="0" borderId="0" xfId="73" applyNumberFormat="1" applyFont="1" applyFill="1" applyBorder="1" applyAlignment="1">
      <alignment horizontal="right" vertical="center"/>
    </xf>
    <xf numFmtId="164" fontId="120" fillId="0" borderId="0" xfId="73" applyNumberFormat="1" applyFont="1" applyFill="1" applyBorder="1" applyAlignment="1">
      <alignment horizontal="right" vertical="center"/>
    </xf>
    <xf numFmtId="164" fontId="121" fillId="6" borderId="0" xfId="73" applyNumberFormat="1" applyFont="1" applyFill="1" applyBorder="1" applyAlignment="1">
      <alignment horizontal="left" vertical="center"/>
    </xf>
    <xf numFmtId="49" fontId="120" fillId="0" borderId="0" xfId="0" applyNumberFormat="1" applyFont="1" applyFill="1" applyBorder="1" applyAlignment="1">
      <alignment horizontal="left" vertical="center"/>
    </xf>
    <xf numFmtId="164" fontId="30" fillId="0" borderId="0" xfId="73" applyNumberFormat="1" applyFont="1" applyFill="1" applyAlignment="1">
      <alignment vertical="center"/>
    </xf>
    <xf numFmtId="3" fontId="30" fillId="17" borderId="0" xfId="0" applyNumberFormat="1" applyFont="1" applyFill="1" applyBorder="1" applyAlignment="1">
      <alignment horizontal="right" vertical="center" wrapText="1"/>
    </xf>
    <xf numFmtId="3" fontId="28" fillId="17" borderId="0" xfId="0" applyNumberFormat="1" applyFont="1" applyFill="1" applyBorder="1" applyAlignment="1">
      <alignment horizontal="right" vertical="center"/>
    </xf>
    <xf numFmtId="0" fontId="0" fillId="0" borderId="0" xfId="0" applyAlignment="1">
      <alignment horizontal="justify" vertical="center" wrapText="1"/>
    </xf>
    <xf numFmtId="0" fontId="30" fillId="6" borderId="0" xfId="0" applyFont="1" applyFill="1" applyBorder="1" applyAlignment="1">
      <alignment horizontal="justify" vertical="center" wrapText="1"/>
    </xf>
    <xf numFmtId="0" fontId="29" fillId="0" borderId="0" xfId="0" applyFont="1" applyAlignment="1">
      <alignment horizontal="justify" vertical="center" wrapText="1"/>
    </xf>
    <xf numFmtId="0" fontId="28" fillId="0" borderId="0" xfId="0" applyFont="1" applyAlignment="1">
      <alignment horizontal="justify" vertical="center" wrapText="1"/>
    </xf>
    <xf numFmtId="166" fontId="63" fillId="6" borderId="0" xfId="86" applyNumberFormat="1" applyFont="1" applyFill="1" applyBorder="1" applyAlignment="1">
      <alignment horizontal="left" vertical="center" wrapText="1"/>
    </xf>
    <xf numFmtId="164" fontId="63" fillId="6" borderId="0" xfId="73" applyNumberFormat="1" applyFont="1" applyFill="1" applyBorder="1" applyAlignment="1">
      <alignment horizontal="left" vertical="center" wrapText="1"/>
    </xf>
    <xf numFmtId="164" fontId="114" fillId="6" borderId="0" xfId="73" applyNumberFormat="1" applyFont="1" applyFill="1" applyBorder="1" applyAlignment="1">
      <alignment vertical="center"/>
    </xf>
    <xf numFmtId="166" fontId="114" fillId="6" borderId="0" xfId="86" applyNumberFormat="1" applyFont="1" applyFill="1" applyBorder="1" applyAlignment="1">
      <alignment horizontal="left" vertical="center" wrapText="1"/>
    </xf>
    <xf numFmtId="166" fontId="86" fillId="6" borderId="0" xfId="86" applyNumberFormat="1" applyFont="1" applyFill="1" applyBorder="1" applyAlignment="1">
      <alignment horizontal="left" vertical="center" wrapText="1"/>
    </xf>
    <xf numFmtId="164" fontId="86" fillId="6" borderId="0" xfId="73" applyNumberFormat="1" applyFont="1" applyFill="1" applyBorder="1" applyAlignment="1">
      <alignment vertical="center"/>
    </xf>
    <xf numFmtId="2" fontId="151" fillId="6" borderId="44" xfId="86" applyNumberFormat="1" applyFont="1" applyFill="1" applyBorder="1" applyAlignment="1">
      <alignment horizontal="center" vertical="center" wrapText="1"/>
    </xf>
    <xf numFmtId="2" fontId="151" fillId="6" borderId="45" xfId="86" applyNumberFormat="1" applyFont="1" applyFill="1" applyBorder="1" applyAlignment="1">
      <alignment horizontal="center" vertical="center" wrapText="1"/>
    </xf>
    <xf numFmtId="2" fontId="151" fillId="6" borderId="45" xfId="73" applyNumberFormat="1" applyFont="1" applyFill="1" applyBorder="1" applyAlignment="1">
      <alignment horizontal="center" vertical="center" wrapText="1"/>
    </xf>
    <xf numFmtId="2" fontId="151" fillId="6" borderId="46" xfId="73" applyNumberFormat="1" applyFont="1" applyFill="1" applyBorder="1" applyAlignment="1">
      <alignment horizontal="center" vertical="center" wrapText="1"/>
    </xf>
    <xf numFmtId="2" fontId="151" fillId="6" borderId="47" xfId="73" applyNumberFormat="1" applyFont="1" applyFill="1" applyBorder="1" applyAlignment="1">
      <alignment horizontal="center" vertical="center" wrapText="1"/>
    </xf>
    <xf numFmtId="2" fontId="151" fillId="6" borderId="48" xfId="86" applyNumberFormat="1" applyFont="1" applyFill="1" applyBorder="1" applyAlignment="1">
      <alignment horizontal="left"/>
    </xf>
    <xf numFmtId="41" fontId="151" fillId="6" borderId="12" xfId="86" applyNumberFormat="1" applyFont="1" applyFill="1" applyBorder="1" applyAlignment="1">
      <alignment horizontal="center"/>
    </xf>
    <xf numFmtId="41" fontId="151" fillId="6" borderId="12" xfId="73" applyNumberFormat="1" applyFont="1" applyFill="1" applyBorder="1" applyAlignment="1">
      <alignment horizontal="center"/>
    </xf>
    <xf numFmtId="41" fontId="151" fillId="6" borderId="30" xfId="73" applyNumberFormat="1" applyFont="1" applyFill="1" applyBorder="1" applyAlignment="1">
      <alignment horizontal="center"/>
    </xf>
    <xf numFmtId="41" fontId="151" fillId="6" borderId="49" xfId="73" applyNumberFormat="1" applyFont="1" applyFill="1" applyBorder="1" applyAlignment="1">
      <alignment horizontal="center"/>
    </xf>
    <xf numFmtId="2" fontId="151" fillId="6" borderId="50" xfId="86" applyNumberFormat="1" applyFont="1" applyFill="1" applyBorder="1" applyAlignment="1">
      <alignment horizontal="left"/>
    </xf>
    <xf numFmtId="164" fontId="151" fillId="6" borderId="18" xfId="73" applyNumberFormat="1" applyFont="1" applyFill="1" applyBorder="1" applyAlignment="1">
      <alignment horizontal="center"/>
    </xf>
    <xf numFmtId="164" fontId="151" fillId="6" borderId="12" xfId="73" applyNumberFormat="1" applyFont="1" applyFill="1" applyBorder="1" applyAlignment="1">
      <alignment horizontal="center"/>
    </xf>
    <xf numFmtId="41" fontId="151" fillId="6" borderId="51" xfId="73" applyNumberFormat="1" applyFont="1" applyFill="1" applyBorder="1" applyAlignment="1">
      <alignment horizontal="center"/>
    </xf>
    <xf numFmtId="2" fontId="152" fillId="6" borderId="52" xfId="86" applyNumberFormat="1" applyFont="1" applyFill="1" applyBorder="1" applyAlignment="1">
      <alignment horizontal="left"/>
    </xf>
    <xf numFmtId="164" fontId="152" fillId="6" borderId="18" xfId="73" applyNumberFormat="1" applyFont="1" applyFill="1" applyBorder="1" applyAlignment="1">
      <alignment horizontal="center"/>
    </xf>
    <xf numFmtId="164" fontId="152" fillId="6" borderId="25" xfId="73" applyNumberFormat="1" applyFont="1" applyFill="1" applyBorder="1" applyAlignment="1">
      <alignment horizontal="center"/>
    </xf>
    <xf numFmtId="41" fontId="152" fillId="6" borderId="51" xfId="73" applyNumberFormat="1" applyFont="1" applyFill="1" applyBorder="1" applyAlignment="1">
      <alignment horizontal="center"/>
    </xf>
    <xf numFmtId="164" fontId="153" fillId="6" borderId="18" xfId="73" applyNumberFormat="1" applyFont="1" applyFill="1" applyBorder="1" applyAlignment="1">
      <alignment horizontal="center"/>
    </xf>
    <xf numFmtId="41" fontId="152" fillId="6" borderId="18" xfId="73" applyNumberFormat="1" applyFont="1" applyFill="1" applyBorder="1" applyAlignment="1">
      <alignment horizontal="center"/>
    </xf>
    <xf numFmtId="41" fontId="152" fillId="6" borderId="18" xfId="86" applyNumberFormat="1" applyFont="1" applyFill="1" applyBorder="1" applyAlignment="1">
      <alignment horizontal="center"/>
    </xf>
    <xf numFmtId="41" fontId="152" fillId="6" borderId="25" xfId="73" applyNumberFormat="1" applyFont="1" applyFill="1" applyBorder="1" applyAlignment="1">
      <alignment horizontal="center"/>
    </xf>
    <xf numFmtId="2" fontId="151" fillId="6" borderId="52" xfId="73" applyNumberFormat="1" applyFont="1" applyFill="1" applyBorder="1" applyAlignment="1">
      <alignment vertical="top"/>
    </xf>
    <xf numFmtId="41" fontId="151" fillId="6" borderId="18" xfId="73" applyNumberFormat="1" applyFont="1" applyFill="1" applyBorder="1" applyAlignment="1">
      <alignment vertical="top"/>
    </xf>
    <xf numFmtId="41" fontId="151" fillId="6" borderId="51" xfId="73" applyNumberFormat="1" applyFont="1" applyFill="1" applyBorder="1" applyAlignment="1">
      <alignment vertical="top"/>
    </xf>
    <xf numFmtId="2" fontId="152" fillId="6" borderId="52" xfId="73" applyNumberFormat="1" applyFont="1" applyFill="1" applyBorder="1" applyAlignment="1">
      <alignment vertical="top"/>
    </xf>
    <xf numFmtId="41" fontId="152" fillId="6" borderId="18" xfId="73" applyNumberFormat="1" applyFont="1" applyFill="1" applyBorder="1" applyAlignment="1">
      <alignment vertical="top"/>
    </xf>
    <xf numFmtId="164" fontId="152" fillId="6" borderId="18" xfId="73" applyNumberFormat="1" applyFont="1" applyFill="1" applyBorder="1" applyAlignment="1">
      <alignment vertical="top"/>
    </xf>
    <xf numFmtId="164" fontId="152" fillId="6" borderId="25" xfId="73" applyNumberFormat="1" applyFont="1" applyFill="1" applyBorder="1" applyAlignment="1">
      <alignment vertical="top"/>
    </xf>
    <xf numFmtId="2" fontId="151" fillId="6" borderId="53" xfId="73" applyNumberFormat="1" applyFont="1" applyFill="1" applyBorder="1" applyAlignment="1">
      <alignment vertical="top"/>
    </xf>
    <xf numFmtId="164" fontId="151" fillId="6" borderId="54" xfId="73" applyNumberFormat="1" applyFont="1" applyFill="1" applyBorder="1" applyAlignment="1">
      <alignment vertical="top"/>
    </xf>
    <xf numFmtId="41" fontId="151" fillId="6" borderId="55" xfId="73" applyNumberFormat="1" applyFont="1" applyFill="1" applyBorder="1" applyAlignment="1">
      <alignment vertical="top"/>
    </xf>
    <xf numFmtId="43" fontId="28" fillId="6" borderId="0" xfId="73" applyFont="1" applyFill="1" applyAlignment="1">
      <alignment horizontal="left"/>
    </xf>
    <xf numFmtId="49" fontId="122" fillId="6" borderId="0" xfId="73" applyNumberFormat="1" applyFont="1" applyFill="1" applyBorder="1" applyAlignment="1">
      <alignment horizontal="left" vertical="center"/>
    </xf>
    <xf numFmtId="49" fontId="30" fillId="6" borderId="0" xfId="0" quotePrefix="1" applyNumberFormat="1" applyFont="1" applyFill="1" applyBorder="1" applyAlignment="1">
      <alignment horizontal="left" vertical="center"/>
    </xf>
    <xf numFmtId="49" fontId="28" fillId="6" borderId="0" xfId="0" quotePrefix="1" applyNumberFormat="1" applyFont="1" applyFill="1" applyBorder="1" applyAlignment="1">
      <alignment horizontal="left" vertical="center"/>
    </xf>
    <xf numFmtId="49" fontId="30" fillId="6" borderId="42" xfId="0" quotePrefix="1" applyNumberFormat="1" applyFont="1" applyFill="1" applyBorder="1" applyAlignment="1">
      <alignment horizontal="left" vertical="center"/>
    </xf>
    <xf numFmtId="164" fontId="30" fillId="6" borderId="43" xfId="73" applyNumberFormat="1" applyFont="1" applyFill="1" applyBorder="1" applyAlignment="1">
      <alignment horizontal="right" vertical="center"/>
    </xf>
    <xf numFmtId="49" fontId="30" fillId="6" borderId="39" xfId="0" quotePrefix="1" applyNumberFormat="1" applyFont="1" applyFill="1" applyBorder="1" applyAlignment="1">
      <alignment horizontal="left" vertical="center"/>
    </xf>
    <xf numFmtId="49" fontId="30" fillId="6" borderId="3" xfId="0" applyNumberFormat="1" applyFont="1" applyFill="1" applyBorder="1" applyAlignment="1">
      <alignment horizontal="left" vertical="center"/>
    </xf>
    <xf numFmtId="164" fontId="30" fillId="6" borderId="40" xfId="73" applyNumberFormat="1" applyFont="1" applyFill="1" applyBorder="1" applyAlignment="1">
      <alignment horizontal="right" vertical="center"/>
    </xf>
    <xf numFmtId="49" fontId="30" fillId="6" borderId="7" xfId="0" applyNumberFormat="1" applyFont="1" applyFill="1" applyBorder="1" applyAlignment="1">
      <alignment horizontal="right" vertical="center"/>
    </xf>
    <xf numFmtId="164" fontId="28" fillId="6" borderId="29" xfId="73" applyNumberFormat="1" applyFont="1" applyFill="1" applyBorder="1" applyAlignment="1">
      <alignment horizontal="right" vertical="center"/>
    </xf>
    <xf numFmtId="164" fontId="30" fillId="6" borderId="7" xfId="73" applyNumberFormat="1" applyFont="1" applyFill="1" applyBorder="1" applyAlignment="1">
      <alignment horizontal="right" vertical="center"/>
    </xf>
    <xf numFmtId="0" fontId="28" fillId="6" borderId="0" xfId="0" quotePrefix="1" applyFont="1" applyFill="1" applyBorder="1" applyAlignment="1">
      <alignment horizontal="left" vertical="center"/>
    </xf>
    <xf numFmtId="0" fontId="162" fillId="6" borderId="0" xfId="0" applyFont="1" applyFill="1" applyBorder="1" applyAlignment="1">
      <alignment horizontal="center" vertical="center"/>
    </xf>
    <xf numFmtId="0" fontId="25" fillId="6" borderId="0" xfId="0" applyFont="1" applyFill="1" applyBorder="1" applyAlignment="1">
      <alignment horizontal="center" vertical="center"/>
    </xf>
    <xf numFmtId="49" fontId="162" fillId="6" borderId="0" xfId="0" quotePrefix="1" applyNumberFormat="1" applyFont="1" applyFill="1" applyBorder="1" applyAlignment="1">
      <alignment horizontal="left" vertical="center"/>
    </xf>
    <xf numFmtId="49" fontId="25" fillId="6" borderId="0" xfId="0" applyNumberFormat="1" applyFont="1" applyFill="1" applyBorder="1" applyAlignment="1">
      <alignment horizontal="left" vertical="center"/>
    </xf>
    <xf numFmtId="164" fontId="25" fillId="6" borderId="0" xfId="73" applyNumberFormat="1" applyFont="1" applyFill="1" applyBorder="1" applyAlignment="1">
      <alignment horizontal="right" vertical="center"/>
    </xf>
    <xf numFmtId="49" fontId="28" fillId="6" borderId="3" xfId="0" applyNumberFormat="1" applyFont="1" applyFill="1" applyBorder="1" applyAlignment="1">
      <alignment horizontal="left" vertical="center"/>
    </xf>
    <xf numFmtId="49" fontId="28" fillId="6" borderId="3" xfId="0" applyNumberFormat="1" applyFont="1" applyFill="1" applyBorder="1" applyAlignment="1">
      <alignment horizontal="center" vertical="center"/>
    </xf>
    <xf numFmtId="0" fontId="122" fillId="6" borderId="22" xfId="0" applyNumberFormat="1" applyFont="1" applyFill="1" applyBorder="1" applyAlignment="1">
      <alignment horizontal="justify" vertical="top" wrapText="1"/>
    </xf>
    <xf numFmtId="0" fontId="122" fillId="6" borderId="22" xfId="0" applyFont="1" applyFill="1" applyBorder="1" applyAlignment="1">
      <alignment horizontal="justify" vertical="top"/>
    </xf>
    <xf numFmtId="0" fontId="121" fillId="6" borderId="23" xfId="0" applyNumberFormat="1" applyFont="1" applyFill="1" applyBorder="1" applyAlignment="1">
      <alignment horizontal="justify" vertical="top" wrapText="1"/>
    </xf>
    <xf numFmtId="164" fontId="121" fillId="6" borderId="9" xfId="73" applyNumberFormat="1" applyFont="1" applyFill="1" applyBorder="1" applyAlignment="1">
      <alignment horizontal="right" vertical="top"/>
    </xf>
    <xf numFmtId="0" fontId="122" fillId="6" borderId="26" xfId="0" applyNumberFormat="1" applyFont="1" applyFill="1" applyBorder="1" applyAlignment="1">
      <alignment horizontal="justify" vertical="top" wrapText="1"/>
    </xf>
    <xf numFmtId="0" fontId="122" fillId="6" borderId="26" xfId="0" applyFont="1" applyFill="1" applyBorder="1" applyAlignment="1">
      <alignment horizontal="justify" vertical="top"/>
    </xf>
    <xf numFmtId="0" fontId="122" fillId="6" borderId="27" xfId="0" applyNumberFormat="1" applyFont="1" applyFill="1" applyBorder="1" applyAlignment="1">
      <alignment horizontal="justify" vertical="top" wrapText="1"/>
    </xf>
    <xf numFmtId="164" fontId="120" fillId="6" borderId="18" xfId="73" applyNumberFormat="1" applyFont="1" applyFill="1" applyBorder="1" applyAlignment="1">
      <alignment horizontal="right" vertical="top" wrapText="1"/>
    </xf>
    <xf numFmtId="49" fontId="124" fillId="6" borderId="0" xfId="160" quotePrefix="1" applyNumberFormat="1" applyFont="1" applyFill="1" applyAlignment="1">
      <alignment horizontal="left" vertical="center" wrapText="1"/>
    </xf>
    <xf numFmtId="49" fontId="121" fillId="6" borderId="0" xfId="160" quotePrefix="1" applyNumberFormat="1" applyFont="1" applyFill="1" applyAlignment="1">
      <alignment horizontal="left" vertical="center" wrapText="1"/>
    </xf>
    <xf numFmtId="49" fontId="123" fillId="6" borderId="0" xfId="160" quotePrefix="1" applyNumberFormat="1" applyFont="1" applyFill="1" applyAlignment="1">
      <alignment vertical="center" wrapText="1"/>
    </xf>
    <xf numFmtId="0" fontId="176" fillId="0" borderId="0" xfId="0" applyFont="1" applyAlignment="1">
      <alignment vertical="center"/>
    </xf>
    <xf numFmtId="0" fontId="177" fillId="0" borderId="0" xfId="0" applyFont="1" applyAlignment="1">
      <alignment vertical="center"/>
    </xf>
    <xf numFmtId="164" fontId="120" fillId="0" borderId="0" xfId="73" applyNumberFormat="1" applyFont="1" applyFill="1" applyBorder="1" applyAlignment="1">
      <alignment horizontal="center" vertical="center" wrapText="1"/>
    </xf>
    <xf numFmtId="164" fontId="124" fillId="0" borderId="0" xfId="73" applyNumberFormat="1" applyFont="1" applyFill="1" applyBorder="1" applyAlignment="1">
      <alignment horizontal="center" vertical="center" wrapText="1"/>
    </xf>
    <xf numFmtId="49" fontId="30" fillId="6" borderId="0" xfId="73" quotePrefix="1" applyNumberFormat="1" applyFont="1" applyFill="1" applyBorder="1" applyAlignment="1">
      <alignment horizontal="left" vertical="center"/>
    </xf>
    <xf numFmtId="0" fontId="29" fillId="6" borderId="0" xfId="0" applyFont="1" applyFill="1" applyAlignment="1"/>
    <xf numFmtId="0" fontId="120" fillId="6" borderId="0" xfId="0" applyFont="1" applyFill="1" applyAlignment="1">
      <alignment horizontal="center" vertical="center" shrinkToFit="1"/>
    </xf>
    <xf numFmtId="164" fontId="155" fillId="0" borderId="0" xfId="73" applyNumberFormat="1" applyFont="1" applyFill="1" applyBorder="1" applyAlignment="1"/>
    <xf numFmtId="164" fontId="30" fillId="6" borderId="0" xfId="73" quotePrefix="1" applyNumberFormat="1" applyFont="1" applyFill="1" applyBorder="1" applyAlignment="1">
      <alignment horizontal="center" vertical="center"/>
    </xf>
    <xf numFmtId="3" fontId="49" fillId="0" borderId="0" xfId="0" applyNumberFormat="1" applyFont="1" applyFill="1" applyBorder="1"/>
    <xf numFmtId="164" fontId="178" fillId="6" borderId="0" xfId="73" applyNumberFormat="1" applyFont="1" applyFill="1" applyBorder="1" applyAlignment="1">
      <alignment horizontal="center" vertical="center"/>
    </xf>
    <xf numFmtId="0" fontId="4" fillId="0" borderId="7" xfId="0" applyNumberFormat="1" applyFont="1" applyFill="1" applyBorder="1" applyAlignment="1">
      <alignment horizontal="center" vertical="center" wrapText="1"/>
    </xf>
    <xf numFmtId="0" fontId="120" fillId="0" borderId="0" xfId="0" applyFont="1" applyFill="1" applyAlignment="1">
      <alignment horizontal="center"/>
    </xf>
    <xf numFmtId="49" fontId="54" fillId="6" borderId="0" xfId="160" applyNumberFormat="1" applyFont="1" applyFill="1" applyAlignment="1">
      <alignment horizontal="left" vertical="center" wrapText="1"/>
    </xf>
    <xf numFmtId="0" fontId="115" fillId="6" borderId="0" xfId="0" applyFont="1" applyFill="1" applyAlignment="1">
      <alignment horizontal="center" vertical="center"/>
    </xf>
    <xf numFmtId="164" fontId="54" fillId="6" borderId="0" xfId="73" applyNumberFormat="1" applyFont="1" applyFill="1" applyAlignment="1">
      <alignment horizontal="right" vertical="center"/>
    </xf>
    <xf numFmtId="49" fontId="54" fillId="6" borderId="0" xfId="160" applyNumberFormat="1" applyFont="1" applyFill="1" applyAlignment="1">
      <alignment horizontal="left" vertical="center"/>
    </xf>
    <xf numFmtId="0" fontId="54" fillId="6" borderId="0" xfId="0" applyFont="1" applyFill="1" applyAlignment="1">
      <alignment horizontal="center" vertical="center"/>
    </xf>
    <xf numFmtId="164" fontId="86" fillId="6" borderId="0" xfId="73" applyNumberFormat="1" applyFont="1" applyFill="1" applyAlignment="1">
      <alignment horizontal="right" vertical="center"/>
    </xf>
    <xf numFmtId="0" fontId="54" fillId="6" borderId="0" xfId="160" applyFont="1" applyFill="1" applyAlignment="1">
      <alignment horizontal="center" vertical="center" wrapText="1"/>
    </xf>
    <xf numFmtId="0" fontId="54" fillId="6" borderId="0" xfId="160" applyFont="1" applyFill="1" applyAlignment="1">
      <alignment horizontal="center" vertical="center"/>
    </xf>
    <xf numFmtId="0" fontId="120" fillId="0" borderId="0" xfId="160" applyFont="1" applyFill="1" applyAlignment="1">
      <alignment horizontal="center" vertical="center"/>
    </xf>
    <xf numFmtId="49" fontId="3" fillId="6" borderId="0" xfId="160" applyNumberFormat="1" applyFont="1" applyFill="1" applyAlignment="1">
      <alignment horizontal="left" vertical="center" wrapText="1"/>
    </xf>
    <xf numFmtId="49" fontId="3" fillId="6" borderId="0" xfId="160" applyNumberFormat="1" applyFont="1" applyFill="1" applyAlignment="1">
      <alignment horizontal="left" vertical="center"/>
    </xf>
    <xf numFmtId="49" fontId="121" fillId="6" borderId="42" xfId="0" applyNumberFormat="1" applyFont="1" applyFill="1" applyBorder="1" applyAlignment="1">
      <alignment horizontal="left" vertical="center" wrapText="1"/>
    </xf>
    <xf numFmtId="49" fontId="120" fillId="6" borderId="42" xfId="0" applyNumberFormat="1" applyFont="1" applyFill="1" applyBorder="1" applyAlignment="1">
      <alignment horizontal="left" vertical="center" wrapText="1"/>
    </xf>
    <xf numFmtId="49" fontId="28" fillId="6" borderId="0" xfId="0" applyNumberFormat="1" applyFont="1" applyFill="1" applyBorder="1" applyAlignment="1">
      <alignment horizontal="right" vertical="center"/>
    </xf>
    <xf numFmtId="49" fontId="54" fillId="6" borderId="0" xfId="160" quotePrefix="1" applyNumberFormat="1" applyFont="1" applyFill="1" applyAlignment="1">
      <alignment horizontal="left" vertical="center" wrapText="1"/>
    </xf>
    <xf numFmtId="49" fontId="114" fillId="6" borderId="0" xfId="160" applyNumberFormat="1" applyFont="1" applyFill="1" applyAlignment="1">
      <alignment horizontal="left" vertical="center"/>
    </xf>
    <xf numFmtId="49" fontId="28" fillId="6" borderId="0" xfId="73" applyNumberFormat="1" applyFont="1" applyFill="1" applyBorder="1" applyAlignment="1">
      <alignment horizontal="center" vertical="center" wrapText="1"/>
    </xf>
    <xf numFmtId="0" fontId="28" fillId="6" borderId="0" xfId="160" applyFont="1" applyFill="1" applyBorder="1" applyAlignment="1">
      <alignment horizontal="left" vertical="center"/>
    </xf>
    <xf numFmtId="49" fontId="28" fillId="6" borderId="0" xfId="73" applyNumberFormat="1" applyFont="1" applyFill="1" applyBorder="1" applyAlignment="1">
      <alignment horizontal="left" vertical="center" wrapText="1"/>
    </xf>
    <xf numFmtId="3" fontId="0" fillId="0" borderId="0" xfId="0" applyNumberFormat="1" applyProtection="1">
      <protection locked="0"/>
    </xf>
    <xf numFmtId="164" fontId="132" fillId="0" borderId="0" xfId="73" applyNumberFormat="1" applyFont="1" applyFill="1" applyAlignment="1">
      <alignment horizontal="right" vertical="center"/>
    </xf>
    <xf numFmtId="0" fontId="120" fillId="6" borderId="0" xfId="0" applyFont="1" applyFill="1" applyAlignment="1">
      <alignment horizontal="center" vertical="center"/>
    </xf>
    <xf numFmtId="0" fontId="120" fillId="6" borderId="17" xfId="0" applyFont="1" applyFill="1" applyBorder="1" applyAlignment="1">
      <alignment horizontal="center" vertical="center"/>
    </xf>
    <xf numFmtId="0" fontId="120" fillId="6" borderId="10" xfId="0" applyFont="1" applyFill="1" applyBorder="1" applyAlignment="1">
      <alignment horizontal="center" vertical="center"/>
    </xf>
    <xf numFmtId="0" fontId="120" fillId="6" borderId="16" xfId="0" applyFont="1" applyFill="1" applyBorder="1" applyAlignment="1">
      <alignment horizontal="center" vertical="center"/>
    </xf>
    <xf numFmtId="164" fontId="120" fillId="6" borderId="16" xfId="73" applyNumberFormat="1" applyFont="1" applyFill="1" applyBorder="1" applyAlignment="1">
      <alignment horizontal="right" vertical="center"/>
    </xf>
    <xf numFmtId="0" fontId="120" fillId="6" borderId="42" xfId="0" applyFont="1" applyFill="1" applyBorder="1" applyAlignment="1">
      <alignment horizontal="center" vertical="center"/>
    </xf>
    <xf numFmtId="164" fontId="121" fillId="6" borderId="42" xfId="73" applyNumberFormat="1" applyFont="1" applyFill="1" applyBorder="1" applyAlignment="1">
      <alignment horizontal="right" vertical="center"/>
    </xf>
    <xf numFmtId="0" fontId="120" fillId="6" borderId="3" xfId="0" applyFont="1" applyFill="1" applyBorder="1" applyAlignment="1">
      <alignment horizontal="center" vertical="center"/>
    </xf>
    <xf numFmtId="0" fontId="120" fillId="6" borderId="39" xfId="0" applyFont="1" applyFill="1" applyBorder="1" applyAlignment="1">
      <alignment horizontal="center" vertical="center"/>
    </xf>
    <xf numFmtId="164" fontId="120" fillId="6" borderId="4" xfId="73" applyNumberFormat="1" applyFont="1" applyFill="1" applyBorder="1" applyAlignment="1">
      <alignment horizontal="center" vertical="center"/>
    </xf>
    <xf numFmtId="164" fontId="120" fillId="6" borderId="3" xfId="73" applyNumberFormat="1" applyFont="1" applyFill="1" applyBorder="1" applyAlignment="1">
      <alignment horizontal="right" vertical="center"/>
    </xf>
    <xf numFmtId="164" fontId="120" fillId="6" borderId="39" xfId="73" applyNumberFormat="1" applyFont="1" applyFill="1" applyBorder="1" applyAlignment="1">
      <alignment horizontal="right" vertical="center"/>
    </xf>
    <xf numFmtId="164" fontId="120" fillId="6" borderId="40" xfId="73" applyNumberFormat="1" applyFont="1" applyFill="1" applyBorder="1" applyAlignment="1">
      <alignment horizontal="right" vertical="center"/>
    </xf>
    <xf numFmtId="164" fontId="121" fillId="0" borderId="3" xfId="73" applyNumberFormat="1" applyFont="1" applyFill="1" applyBorder="1" applyAlignment="1">
      <alignment horizontal="right" vertical="center"/>
    </xf>
    <xf numFmtId="164" fontId="122" fillId="6" borderId="0" xfId="0" applyNumberFormat="1" applyFont="1" applyFill="1" applyAlignment="1">
      <alignment horizontal="center" vertical="center"/>
    </xf>
    <xf numFmtId="164" fontId="51" fillId="6" borderId="0" xfId="73" applyNumberFormat="1" applyFont="1" applyFill="1" applyBorder="1"/>
    <xf numFmtId="0" fontId="51" fillId="6" borderId="0" xfId="0" applyFont="1" applyFill="1"/>
    <xf numFmtId="43" fontId="51" fillId="6" borderId="21" xfId="73" applyFont="1" applyFill="1" applyBorder="1"/>
    <xf numFmtId="164" fontId="51" fillId="6" borderId="21" xfId="73" applyNumberFormat="1" applyFont="1" applyFill="1" applyBorder="1"/>
    <xf numFmtId="0" fontId="39" fillId="0" borderId="3" xfId="0" applyFont="1" applyBorder="1" applyAlignment="1">
      <alignment horizontal="right" vertical="top"/>
    </xf>
    <xf numFmtId="164" fontId="39" fillId="0" borderId="0" xfId="73" applyNumberFormat="1" applyFont="1" applyAlignment="1">
      <alignment horizontal="right" vertical="center"/>
    </xf>
    <xf numFmtId="164" fontId="39" fillId="0" borderId="3" xfId="73" applyNumberFormat="1" applyFont="1" applyBorder="1" applyAlignment="1">
      <alignment horizontal="right"/>
    </xf>
    <xf numFmtId="43" fontId="39" fillId="0" borderId="0" xfId="73" applyFont="1" applyAlignment="1">
      <alignment horizontal="right"/>
    </xf>
    <xf numFmtId="164" fontId="39" fillId="0" borderId="0" xfId="73" applyNumberFormat="1" applyFont="1" applyBorder="1" applyAlignment="1">
      <alignment horizontal="right"/>
    </xf>
    <xf numFmtId="166" fontId="39" fillId="0" borderId="0" xfId="86" applyNumberFormat="1" applyFont="1" applyFill="1" applyBorder="1" applyAlignment="1">
      <alignment horizontal="right"/>
    </xf>
    <xf numFmtId="164" fontId="39" fillId="6" borderId="0" xfId="73" applyNumberFormat="1" applyFont="1" applyFill="1" applyAlignment="1">
      <alignment horizontal="right" vertical="center"/>
    </xf>
    <xf numFmtId="164" fontId="39" fillId="6" borderId="3" xfId="73" applyNumberFormat="1" applyFont="1" applyFill="1" applyBorder="1" applyAlignment="1">
      <alignment horizontal="right" vertical="center"/>
    </xf>
    <xf numFmtId="164" fontId="39" fillId="0" borderId="0" xfId="73" applyNumberFormat="1" applyFont="1" applyFill="1" applyAlignment="1">
      <alignment horizontal="right" vertical="center"/>
    </xf>
    <xf numFmtId="164" fontId="39" fillId="0" borderId="3" xfId="73" applyNumberFormat="1" applyFont="1" applyFill="1" applyBorder="1" applyAlignment="1">
      <alignment horizontal="right" vertical="center"/>
    </xf>
    <xf numFmtId="0" fontId="28" fillId="0" borderId="0" xfId="0" applyFont="1" applyAlignment="1">
      <alignment vertical="center"/>
    </xf>
    <xf numFmtId="0" fontId="38" fillId="0" borderId="0" xfId="0" applyFont="1" applyAlignment="1">
      <alignment vertical="center"/>
    </xf>
    <xf numFmtId="164" fontId="121" fillId="6" borderId="4" xfId="73" applyNumberFormat="1" applyFont="1" applyFill="1" applyBorder="1" applyAlignment="1">
      <alignment horizontal="center" vertical="center"/>
    </xf>
    <xf numFmtId="0" fontId="31" fillId="0" borderId="0" xfId="0" applyFont="1"/>
    <xf numFmtId="166" fontId="86" fillId="0" borderId="0" xfId="86" applyNumberFormat="1" applyFont="1" applyAlignment="1">
      <alignment horizontal="left"/>
    </xf>
    <xf numFmtId="49" fontId="121" fillId="0" borderId="0" xfId="0" applyNumberFormat="1" applyFont="1" applyBorder="1" applyAlignment="1">
      <alignment horizontal="left"/>
    </xf>
    <xf numFmtId="41" fontId="28" fillId="6" borderId="0" xfId="0" applyNumberFormat="1" applyFont="1" applyFill="1" applyBorder="1" applyAlignment="1">
      <alignment vertical="center"/>
    </xf>
    <xf numFmtId="49" fontId="28" fillId="6" borderId="0" xfId="0" applyNumberFormat="1" applyFont="1" applyFill="1" applyBorder="1" applyAlignment="1">
      <alignment vertical="center"/>
    </xf>
    <xf numFmtId="164" fontId="30" fillId="6" borderId="0" xfId="0" applyNumberFormat="1" applyFont="1" applyFill="1" applyBorder="1" applyAlignment="1">
      <alignment horizontal="center" vertical="center" wrapText="1"/>
    </xf>
    <xf numFmtId="4" fontId="0" fillId="0" borderId="0" xfId="0" applyNumberFormat="1" applyProtection="1">
      <protection locked="0"/>
    </xf>
    <xf numFmtId="0" fontId="25" fillId="0" borderId="0" xfId="0" applyFont="1" applyAlignment="1">
      <alignment vertical="top"/>
    </xf>
    <xf numFmtId="0" fontId="147" fillId="0" borderId="0" xfId="0" quotePrefix="1" applyFont="1" applyFill="1" applyAlignment="1">
      <alignment horizontal="right" vertical="center"/>
    </xf>
    <xf numFmtId="16" fontId="147" fillId="0" borderId="0" xfId="0" quotePrefix="1" applyNumberFormat="1" applyFont="1" applyFill="1" applyAlignment="1">
      <alignment horizontal="right" vertical="center"/>
    </xf>
    <xf numFmtId="0" fontId="147" fillId="0" borderId="0" xfId="0" applyFont="1" applyAlignment="1">
      <alignment vertical="center"/>
    </xf>
    <xf numFmtId="3" fontId="179" fillId="0" borderId="0" xfId="0" applyNumberFormat="1" applyFont="1"/>
    <xf numFmtId="164" fontId="122" fillId="24" borderId="0" xfId="171" applyNumberFormat="1" applyFont="1" applyFill="1"/>
    <xf numFmtId="164" fontId="8" fillId="13" borderId="10" xfId="73" applyNumberFormat="1" applyFont="1" applyFill="1" applyBorder="1" applyAlignment="1">
      <alignment horizontal="center" vertical="center"/>
    </xf>
    <xf numFmtId="164" fontId="8" fillId="13" borderId="29" xfId="73" applyNumberFormat="1" applyFont="1" applyFill="1" applyBorder="1" applyAlignment="1">
      <alignment horizontal="center" vertical="center"/>
    </xf>
    <xf numFmtId="164" fontId="8" fillId="23" borderId="2" xfId="73" applyNumberFormat="1" applyFont="1" applyFill="1" applyBorder="1" applyAlignment="1">
      <alignment horizontal="center" vertical="center"/>
    </xf>
    <xf numFmtId="164" fontId="33" fillId="6" borderId="0" xfId="73" applyNumberFormat="1" applyFont="1" applyFill="1" applyAlignment="1">
      <alignment horizontal="center"/>
    </xf>
    <xf numFmtId="164" fontId="28" fillId="6" borderId="0" xfId="73" applyNumberFormat="1" applyFont="1" applyFill="1" applyAlignment="1">
      <alignment horizontal="center"/>
    </xf>
    <xf numFmtId="1" fontId="8" fillId="13" borderId="2" xfId="73" applyNumberFormat="1" applyFont="1" applyFill="1" applyBorder="1" applyAlignment="1">
      <alignment horizontal="center" vertical="center"/>
    </xf>
    <xf numFmtId="1" fontId="8" fillId="13" borderId="14" xfId="73" applyNumberFormat="1" applyFont="1" applyFill="1" applyBorder="1" applyAlignment="1">
      <alignment horizontal="center" vertical="center" wrapText="1"/>
    </xf>
    <xf numFmtId="1" fontId="8" fillId="13" borderId="4" xfId="73" applyNumberFormat="1" applyFont="1" applyFill="1" applyBorder="1" applyAlignment="1">
      <alignment horizontal="center" vertical="center" wrapText="1"/>
    </xf>
    <xf numFmtId="0" fontId="8" fillId="13" borderId="2" xfId="0" applyFont="1" applyFill="1" applyBorder="1" applyAlignment="1">
      <alignment horizontal="center" vertical="center"/>
    </xf>
    <xf numFmtId="164" fontId="8" fillId="13" borderId="2" xfId="73" applyNumberFormat="1" applyFont="1" applyFill="1" applyBorder="1" applyAlignment="1">
      <alignment horizontal="center" vertical="center"/>
    </xf>
    <xf numFmtId="0" fontId="39" fillId="0" borderId="0" xfId="0" applyFont="1" applyFill="1" applyBorder="1" applyAlignment="1">
      <alignment horizontal="right"/>
    </xf>
    <xf numFmtId="164" fontId="28" fillId="0" borderId="0" xfId="73" applyNumberFormat="1" applyFont="1" applyFill="1" applyBorder="1" applyAlignment="1">
      <alignment horizontal="center"/>
    </xf>
    <xf numFmtId="0" fontId="33" fillId="0" borderId="0" xfId="0" applyFont="1" applyAlignment="1">
      <alignment horizontal="center"/>
    </xf>
    <xf numFmtId="43" fontId="28" fillId="0" borderId="0" xfId="73" applyFont="1" applyAlignment="1">
      <alignment horizontal="center"/>
    </xf>
    <xf numFmtId="43" fontId="31" fillId="14" borderId="14" xfId="73" applyFont="1" applyFill="1" applyBorder="1" applyAlignment="1">
      <alignment horizontal="center" vertical="center"/>
    </xf>
    <xf numFmtId="43" fontId="31" fillId="14" borderId="4" xfId="73" applyFont="1" applyFill="1" applyBorder="1" applyAlignment="1">
      <alignment horizontal="center" vertical="center"/>
    </xf>
    <xf numFmtId="0" fontId="31" fillId="14" borderId="10" xfId="0" applyFont="1" applyFill="1" applyBorder="1" applyAlignment="1">
      <alignment horizontal="center" vertical="center"/>
    </xf>
    <xf numFmtId="0" fontId="31" fillId="14" borderId="29" xfId="0" applyFont="1" applyFill="1" applyBorder="1" applyAlignment="1">
      <alignment horizontal="center" vertical="center"/>
    </xf>
    <xf numFmtId="0" fontId="31" fillId="0" borderId="10" xfId="0" applyFont="1" applyFill="1" applyBorder="1" applyAlignment="1">
      <alignment horizontal="center" vertical="center"/>
    </xf>
    <xf numFmtId="0" fontId="31" fillId="0" borderId="29" xfId="0" applyFont="1" applyFill="1" applyBorder="1" applyAlignment="1">
      <alignment horizontal="center" vertical="center"/>
    </xf>
    <xf numFmtId="49" fontId="31" fillId="14" borderId="14" xfId="0" applyNumberFormat="1" applyFont="1" applyFill="1" applyBorder="1" applyAlignment="1">
      <alignment horizontal="center" vertical="center"/>
    </xf>
    <xf numFmtId="49" fontId="31" fillId="14" borderId="4" xfId="0" applyNumberFormat="1" applyFont="1" applyFill="1" applyBorder="1" applyAlignment="1">
      <alignment horizontal="center" vertical="center"/>
    </xf>
    <xf numFmtId="0" fontId="37" fillId="14" borderId="14" xfId="0" applyFont="1" applyFill="1" applyBorder="1" applyAlignment="1">
      <alignment horizontal="center" vertical="center"/>
    </xf>
    <xf numFmtId="0" fontId="37" fillId="14" borderId="4" xfId="0" applyFont="1" applyFill="1" applyBorder="1" applyAlignment="1">
      <alignment horizontal="center" vertical="center"/>
    </xf>
    <xf numFmtId="164" fontId="27" fillId="6" borderId="0" xfId="73" applyNumberFormat="1" applyFont="1" applyFill="1" applyAlignment="1">
      <alignment horizontal="center"/>
    </xf>
    <xf numFmtId="0" fontId="37" fillId="0" borderId="0" xfId="0" applyFont="1" applyAlignment="1">
      <alignment horizontal="center" vertical="center"/>
    </xf>
    <xf numFmtId="0" fontId="2" fillId="0" borderId="0" xfId="0" applyFont="1" applyAlignment="1">
      <alignment horizontal="center"/>
    </xf>
    <xf numFmtId="43" fontId="3" fillId="6" borderId="3" xfId="0" applyNumberFormat="1" applyFont="1" applyFill="1" applyBorder="1" applyAlignment="1">
      <alignment horizontal="center"/>
    </xf>
    <xf numFmtId="0" fontId="3" fillId="6" borderId="3" xfId="0" applyFont="1" applyFill="1" applyBorder="1" applyAlignment="1">
      <alignment horizontal="center"/>
    </xf>
    <xf numFmtId="0" fontId="37" fillId="0" borderId="0" xfId="0" applyFont="1" applyAlignment="1">
      <alignment horizontal="center"/>
    </xf>
    <xf numFmtId="0" fontId="147" fillId="0" borderId="0" xfId="0" applyFont="1" applyAlignment="1">
      <alignment horizontal="center"/>
    </xf>
    <xf numFmtId="0" fontId="146" fillId="0" borderId="0" xfId="0" applyFont="1" applyAlignment="1">
      <alignment horizontal="center"/>
    </xf>
    <xf numFmtId="0" fontId="5" fillId="0" borderId="0" xfId="0" applyFont="1" applyAlignment="1">
      <alignment horizontal="center"/>
    </xf>
    <xf numFmtId="0" fontId="123" fillId="0" borderId="0" xfId="0" applyFont="1" applyAlignment="1">
      <alignment horizontal="center" vertical="top" wrapText="1"/>
    </xf>
    <xf numFmtId="0" fontId="121" fillId="0" borderId="0" xfId="0" applyFont="1" applyAlignment="1">
      <alignment horizontal="center" vertical="top"/>
    </xf>
    <xf numFmtId="0" fontId="122" fillId="0" borderId="0" xfId="0" applyFont="1" applyAlignment="1">
      <alignment horizontal="justify" vertical="center" wrapText="1"/>
    </xf>
    <xf numFmtId="0" fontId="119" fillId="0" borderId="0" xfId="0" applyFont="1" applyAlignment="1">
      <alignment horizontal="center" vertical="center" wrapText="1"/>
    </xf>
    <xf numFmtId="0" fontId="124" fillId="6" borderId="0" xfId="0" applyFont="1" applyFill="1" applyAlignment="1">
      <alignment horizontal="justify" vertical="center" wrapText="1"/>
    </xf>
    <xf numFmtId="0" fontId="122" fillId="6" borderId="0" xfId="0" quotePrefix="1" applyFont="1" applyFill="1" applyAlignment="1">
      <alignment horizontal="justify" vertical="center" wrapText="1"/>
    </xf>
    <xf numFmtId="0" fontId="122" fillId="6" borderId="0" xfId="0" applyFont="1" applyFill="1" applyAlignment="1">
      <alignment horizontal="justify" vertical="center" wrapText="1"/>
    </xf>
    <xf numFmtId="0" fontId="30" fillId="0" borderId="0" xfId="0" applyFont="1" applyAlignment="1">
      <alignment horizontal="justify" vertical="center" wrapText="1"/>
    </xf>
    <xf numFmtId="0" fontId="28" fillId="0" borderId="3" xfId="0" applyFont="1" applyFill="1" applyBorder="1" applyAlignment="1">
      <alignment horizontal="center"/>
    </xf>
    <xf numFmtId="0" fontId="29" fillId="6" borderId="0" xfId="0" applyFont="1" applyFill="1" applyAlignment="1">
      <alignment vertical="center" wrapText="1"/>
    </xf>
    <xf numFmtId="0" fontId="30" fillId="6" borderId="0" xfId="0" applyFont="1" applyFill="1" applyAlignment="1">
      <alignment vertical="center" wrapText="1"/>
    </xf>
    <xf numFmtId="0" fontId="30" fillId="0" borderId="0" xfId="0" applyFont="1" applyFill="1" applyAlignment="1">
      <alignment horizontal="justify" vertical="center" wrapText="1"/>
    </xf>
    <xf numFmtId="0" fontId="30" fillId="0" borderId="0" xfId="0" applyFont="1" applyAlignment="1">
      <alignment horizontal="justify" vertical="top" wrapText="1"/>
    </xf>
    <xf numFmtId="0" fontId="30" fillId="6" borderId="0" xfId="0" applyFont="1" applyFill="1" applyAlignment="1">
      <alignment horizontal="justify" vertical="center" wrapText="1"/>
    </xf>
    <xf numFmtId="0" fontId="30" fillId="0" borderId="0" xfId="0" applyFont="1" applyAlignment="1">
      <alignment horizontal="justify" wrapText="1"/>
    </xf>
    <xf numFmtId="0" fontId="146" fillId="0" borderId="0" xfId="0" applyFont="1" applyAlignment="1">
      <alignment horizontal="center" vertical="center"/>
    </xf>
    <xf numFmtId="0" fontId="28" fillId="0" borderId="0" xfId="0" applyFont="1" applyAlignment="1">
      <alignment horizontal="center"/>
    </xf>
    <xf numFmtId="0" fontId="28" fillId="0" borderId="0" xfId="0" applyFont="1" applyBorder="1" applyAlignment="1">
      <alignment horizontal="center"/>
    </xf>
    <xf numFmtId="0" fontId="33" fillId="0" borderId="0" xfId="0" applyFont="1" applyAlignment="1">
      <alignment horizontal="center" vertical="center"/>
    </xf>
    <xf numFmtId="0" fontId="39" fillId="0" borderId="0" xfId="0" applyFont="1" applyBorder="1" applyAlignment="1">
      <alignment horizontal="right"/>
    </xf>
    <xf numFmtId="0" fontId="172" fillId="0" borderId="0" xfId="0" applyFont="1" applyAlignment="1">
      <alignment horizontal="center"/>
    </xf>
    <xf numFmtId="0" fontId="39" fillId="0" borderId="0" xfId="0" applyFont="1" applyAlignment="1">
      <alignment horizontal="center" vertical="center"/>
    </xf>
    <xf numFmtId="0" fontId="123" fillId="0" borderId="0" xfId="0" applyFont="1" applyAlignment="1">
      <alignment horizontal="left"/>
    </xf>
    <xf numFmtId="0" fontId="146" fillId="0" borderId="0" xfId="0" applyFont="1" applyAlignment="1">
      <alignment horizontal="left"/>
    </xf>
    <xf numFmtId="0" fontId="28" fillId="0" borderId="0" xfId="0" applyFont="1" applyAlignment="1">
      <alignment horizontal="left"/>
    </xf>
    <xf numFmtId="0" fontId="30" fillId="0" borderId="0" xfId="0" quotePrefix="1" applyFont="1" applyAlignment="1">
      <alignment horizontal="justify" vertical="center" wrapText="1"/>
    </xf>
    <xf numFmtId="164" fontId="121" fillId="0" borderId="0" xfId="73" applyNumberFormat="1" applyFont="1" applyAlignment="1">
      <alignment horizontal="center"/>
    </xf>
    <xf numFmtId="164" fontId="121" fillId="0" borderId="0" xfId="73" applyNumberFormat="1" applyFont="1" applyBorder="1" applyAlignment="1">
      <alignment horizontal="center"/>
    </xf>
    <xf numFmtId="49" fontId="119" fillId="0" borderId="0" xfId="0" applyNumberFormat="1" applyFont="1" applyAlignment="1">
      <alignment horizontal="center"/>
    </xf>
    <xf numFmtId="0" fontId="119" fillId="0" borderId="0" xfId="0" applyFont="1" applyAlignment="1">
      <alignment horizontal="center"/>
    </xf>
    <xf numFmtId="0" fontId="123" fillId="0" borderId="0" xfId="0" applyNumberFormat="1" applyFont="1" applyAlignment="1">
      <alignment horizontal="center"/>
    </xf>
    <xf numFmtId="0" fontId="175" fillId="0" borderId="0" xfId="0" applyNumberFormat="1" applyFont="1" applyAlignment="1">
      <alignment horizontal="center"/>
    </xf>
    <xf numFmtId="49" fontId="123" fillId="0" borderId="0" xfId="0" applyNumberFormat="1" applyFont="1" applyBorder="1" applyAlignment="1">
      <alignment horizontal="center"/>
    </xf>
    <xf numFmtId="0" fontId="123" fillId="0" borderId="0" xfId="0" applyFont="1" applyBorder="1" applyAlignment="1">
      <alignment horizontal="center"/>
    </xf>
    <xf numFmtId="164" fontId="123" fillId="0" borderId="0" xfId="73" applyNumberFormat="1" applyFont="1" applyBorder="1" applyAlignment="1">
      <alignment horizontal="right"/>
    </xf>
    <xf numFmtId="164" fontId="123" fillId="0" borderId="0" xfId="73" applyNumberFormat="1" applyFont="1" applyBorder="1" applyAlignment="1">
      <alignment horizontal="center"/>
    </xf>
    <xf numFmtId="0" fontId="119" fillId="0" borderId="0" xfId="0" applyFont="1" applyBorder="1" applyAlignment="1">
      <alignment horizontal="center"/>
    </xf>
    <xf numFmtId="0" fontId="124" fillId="0" borderId="0" xfId="0" applyNumberFormat="1" applyFont="1" applyAlignment="1">
      <alignment horizontal="center"/>
    </xf>
    <xf numFmtId="0" fontId="121" fillId="0" borderId="0" xfId="0" applyFont="1" applyBorder="1" applyAlignment="1">
      <alignment horizontal="center"/>
    </xf>
    <xf numFmtId="166" fontId="2" fillId="0" borderId="0" xfId="86" applyNumberFormat="1" applyFont="1" applyAlignment="1">
      <alignment horizontal="center"/>
    </xf>
    <xf numFmtId="166" fontId="5" fillId="0" borderId="0" xfId="86" applyNumberFormat="1" applyFont="1" applyAlignment="1">
      <alignment horizontal="center"/>
    </xf>
    <xf numFmtId="166" fontId="4" fillId="0" borderId="0" xfId="86" applyNumberFormat="1" applyFont="1" applyAlignment="1">
      <alignment horizontal="center"/>
    </xf>
    <xf numFmtId="0" fontId="6" fillId="0" borderId="0" xfId="0" applyFont="1" applyAlignment="1">
      <alignment horizontal="center"/>
    </xf>
    <xf numFmtId="41" fontId="2" fillId="0" borderId="0" xfId="86" applyNumberFormat="1" applyFont="1" applyBorder="1" applyAlignment="1">
      <alignment horizontal="center"/>
    </xf>
    <xf numFmtId="41" fontId="39" fillId="0" borderId="0" xfId="86" applyNumberFormat="1" applyFont="1" applyAlignment="1">
      <alignment horizontal="center"/>
    </xf>
    <xf numFmtId="41" fontId="37" fillId="0" borderId="0" xfId="86" applyNumberFormat="1" applyFont="1" applyAlignment="1">
      <alignment horizontal="center"/>
    </xf>
    <xf numFmtId="41" fontId="175" fillId="0" borderId="0" xfId="86" applyNumberFormat="1" applyFont="1" applyAlignment="1">
      <alignment horizontal="center"/>
    </xf>
    <xf numFmtId="41" fontId="2" fillId="15" borderId="7" xfId="73" applyNumberFormat="1" applyFont="1" applyFill="1" applyBorder="1" applyAlignment="1">
      <alignment horizontal="center" vertical="center" wrapText="1"/>
    </xf>
    <xf numFmtId="41" fontId="2" fillId="15" borderId="38" xfId="86" applyNumberFormat="1" applyFont="1" applyFill="1" applyBorder="1" applyAlignment="1">
      <alignment horizontal="center" vertical="center" wrapText="1"/>
    </xf>
    <xf numFmtId="41" fontId="4" fillId="15" borderId="38" xfId="86" applyNumberFormat="1" applyFont="1" applyFill="1" applyBorder="1" applyAlignment="1">
      <alignment horizontal="center" vertical="center" wrapText="1"/>
    </xf>
    <xf numFmtId="41" fontId="4" fillId="15" borderId="3" xfId="86" applyNumberFormat="1" applyFont="1" applyFill="1" applyBorder="1" applyAlignment="1">
      <alignment horizontal="center" vertical="center" wrapText="1"/>
    </xf>
    <xf numFmtId="41" fontId="170" fillId="15" borderId="38" xfId="86" applyNumberFormat="1" applyFont="1" applyFill="1" applyBorder="1" applyAlignment="1">
      <alignment horizontal="center" vertical="center" wrapText="1"/>
    </xf>
    <xf numFmtId="41" fontId="170" fillId="15" borderId="3" xfId="86" applyNumberFormat="1" applyFont="1" applyFill="1" applyBorder="1" applyAlignment="1">
      <alignment horizontal="center" vertical="center" wrapText="1"/>
    </xf>
    <xf numFmtId="41" fontId="2" fillId="0" borderId="0" xfId="86" applyNumberFormat="1" applyFont="1" applyBorder="1" applyAlignment="1">
      <alignment horizontal="center" vertical="center"/>
    </xf>
    <xf numFmtId="166" fontId="86" fillId="0" borderId="0" xfId="86" applyNumberFormat="1" applyFont="1" applyAlignment="1">
      <alignment horizontal="center"/>
    </xf>
    <xf numFmtId="166" fontId="86" fillId="0" borderId="38" xfId="86" applyNumberFormat="1" applyFont="1" applyBorder="1" applyAlignment="1">
      <alignment horizontal="center" vertical="center" wrapText="1"/>
    </xf>
    <xf numFmtId="166" fontId="86" fillId="0" borderId="3" xfId="86" applyNumberFormat="1" applyFont="1" applyBorder="1" applyAlignment="1">
      <alignment horizontal="center" vertical="center" wrapText="1"/>
    </xf>
    <xf numFmtId="166" fontId="33" fillId="0" borderId="0" xfId="86" applyNumberFormat="1" applyFont="1" applyAlignment="1">
      <alignment horizontal="center"/>
    </xf>
    <xf numFmtId="166" fontId="175" fillId="0" borderId="0" xfId="86" applyNumberFormat="1" applyFont="1" applyAlignment="1">
      <alignment horizontal="center"/>
    </xf>
    <xf numFmtId="41" fontId="86" fillId="0" borderId="0" xfId="0" applyNumberFormat="1" applyFont="1" applyAlignment="1">
      <alignment horizontal="center"/>
    </xf>
    <xf numFmtId="0" fontId="86" fillId="0" borderId="0" xfId="0" applyFont="1" applyAlignment="1">
      <alignment horizontal="center"/>
    </xf>
    <xf numFmtId="164" fontId="86" fillId="0" borderId="38" xfId="73" applyNumberFormat="1" applyFont="1" applyBorder="1" applyAlignment="1">
      <alignment horizontal="center" vertical="center" wrapText="1"/>
    </xf>
    <xf numFmtId="164" fontId="86" fillId="0" borderId="3" xfId="73" applyNumberFormat="1" applyFont="1" applyBorder="1" applyAlignment="1">
      <alignment horizontal="center" vertical="center" wrapText="1"/>
    </xf>
    <xf numFmtId="0" fontId="122" fillId="6" borderId="25" xfId="0" applyNumberFormat="1" applyFont="1" applyFill="1" applyBorder="1" applyAlignment="1">
      <alignment horizontal="justify" vertical="top" wrapText="1"/>
    </xf>
    <xf numFmtId="0" fontId="122" fillId="6" borderId="26" xfId="0" applyNumberFormat="1" applyFont="1" applyFill="1" applyBorder="1" applyAlignment="1">
      <alignment horizontal="justify" vertical="top" wrapText="1"/>
    </xf>
    <xf numFmtId="0" fontId="122" fillId="6" borderId="0" xfId="0" applyNumberFormat="1" applyFont="1" applyFill="1" applyAlignment="1">
      <alignment horizontal="justify" vertical="top" wrapText="1"/>
    </xf>
    <xf numFmtId="49" fontId="123" fillId="6" borderId="0" xfId="160" quotePrefix="1" applyNumberFormat="1" applyFont="1" applyFill="1" applyAlignment="1">
      <alignment horizontal="left" vertical="center" wrapText="1"/>
    </xf>
    <xf numFmtId="0" fontId="124" fillId="6" borderId="0" xfId="0" applyNumberFormat="1" applyFont="1" applyFill="1" applyAlignment="1">
      <alignment horizontal="justify" vertical="center" wrapText="1"/>
    </xf>
    <xf numFmtId="0" fontId="124" fillId="6" borderId="0" xfId="0" applyNumberFormat="1" applyFont="1" applyFill="1" applyAlignment="1">
      <alignment horizontal="justify" vertical="top" wrapText="1"/>
    </xf>
    <xf numFmtId="49" fontId="124" fillId="6" borderId="0" xfId="160" quotePrefix="1" applyNumberFormat="1" applyFont="1" applyFill="1" applyAlignment="1">
      <alignment horizontal="left" vertical="center" wrapText="1"/>
    </xf>
    <xf numFmtId="0" fontId="120" fillId="6" borderId="0" xfId="0" applyFont="1" applyFill="1" applyAlignment="1">
      <alignment horizontal="justify" vertical="top" wrapText="1"/>
    </xf>
    <xf numFmtId="0" fontId="122" fillId="6" borderId="0" xfId="0" applyFont="1" applyFill="1" applyAlignment="1">
      <alignment horizontal="justify" vertical="top" wrapText="1"/>
    </xf>
    <xf numFmtId="0" fontId="121" fillId="6" borderId="24" xfId="0" applyNumberFormat="1" applyFont="1" applyFill="1" applyBorder="1" applyAlignment="1">
      <alignment horizontal="center" vertical="top" wrapText="1"/>
    </xf>
    <xf numFmtId="0" fontId="121" fillId="6" borderId="22" xfId="0" applyNumberFormat="1" applyFont="1" applyFill="1" applyBorder="1" applyAlignment="1">
      <alignment horizontal="center" vertical="top" wrapText="1"/>
    </xf>
    <xf numFmtId="0" fontId="122" fillId="6" borderId="25" xfId="0" applyNumberFormat="1" applyFont="1" applyFill="1" applyBorder="1" applyAlignment="1">
      <alignment horizontal="justify" vertical="center" wrapText="1"/>
    </xf>
    <xf numFmtId="0" fontId="122" fillId="6" borderId="26" xfId="0" applyNumberFormat="1" applyFont="1" applyFill="1" applyBorder="1" applyAlignment="1">
      <alignment horizontal="justify" vertical="center" wrapText="1"/>
    </xf>
    <xf numFmtId="0" fontId="124" fillId="6" borderId="0" xfId="0" applyNumberFormat="1" applyFont="1" applyFill="1" applyBorder="1" applyAlignment="1">
      <alignment horizontal="justify" vertical="top" wrapText="1"/>
    </xf>
    <xf numFmtId="0" fontId="120" fillId="6" borderId="0" xfId="0" applyNumberFormat="1" applyFont="1" applyFill="1" applyAlignment="1">
      <alignment horizontal="justify" vertical="top" wrapText="1"/>
    </xf>
    <xf numFmtId="0" fontId="132" fillId="6" borderId="0" xfId="0" applyNumberFormat="1" applyFont="1" applyFill="1" applyAlignment="1">
      <alignment horizontal="justify" vertical="top" wrapText="1"/>
    </xf>
    <xf numFmtId="0" fontId="121" fillId="6" borderId="0" xfId="0" applyNumberFormat="1" applyFont="1" applyFill="1" applyAlignment="1">
      <alignment horizontal="justify" vertical="top" wrapText="1"/>
    </xf>
    <xf numFmtId="0" fontId="120" fillId="6" borderId="0" xfId="0" applyNumberFormat="1" applyFont="1" applyFill="1" applyAlignment="1">
      <alignment horizontal="justify" vertical="center" wrapText="1"/>
    </xf>
    <xf numFmtId="0" fontId="120" fillId="6" borderId="25" xfId="0" applyNumberFormat="1" applyFont="1" applyFill="1" applyBorder="1" applyAlignment="1">
      <alignment horizontal="justify" vertical="top" wrapText="1"/>
    </xf>
    <xf numFmtId="0" fontId="29" fillId="6" borderId="0" xfId="0" applyFont="1" applyFill="1" applyAlignment="1">
      <alignment horizontal="left" vertical="center" wrapText="1"/>
    </xf>
    <xf numFmtId="0" fontId="37" fillId="6" borderId="0" xfId="0" applyNumberFormat="1" applyFont="1" applyFill="1" applyAlignment="1">
      <alignment horizontal="center" vertical="center"/>
    </xf>
    <xf numFmtId="0" fontId="2" fillId="6" borderId="0" xfId="0" applyNumberFormat="1" applyFont="1" applyFill="1" applyAlignment="1">
      <alignment horizontal="center" vertical="center" wrapText="1"/>
    </xf>
    <xf numFmtId="0" fontId="121" fillId="6" borderId="0" xfId="0" applyNumberFormat="1" applyFont="1" applyFill="1" applyAlignment="1">
      <alignment horizontal="center" vertical="center" wrapText="1"/>
    </xf>
    <xf numFmtId="0" fontId="122" fillId="0" borderId="0" xfId="0" applyNumberFormat="1" applyFont="1" applyFill="1" applyAlignment="1">
      <alignment horizontal="justify" vertical="top" wrapText="1"/>
    </xf>
    <xf numFmtId="0" fontId="122" fillId="6" borderId="0" xfId="0" applyNumberFormat="1" applyFont="1" applyFill="1" applyAlignment="1">
      <alignment horizontal="justify" vertical="center" wrapText="1"/>
    </xf>
    <xf numFmtId="0" fontId="3" fillId="6" borderId="0" xfId="0" applyFont="1" applyFill="1" applyAlignment="1">
      <alignment vertical="center" wrapText="1"/>
    </xf>
    <xf numFmtId="0" fontId="123" fillId="6" borderId="0" xfId="0" applyNumberFormat="1" applyFont="1" applyFill="1" applyAlignment="1">
      <alignment horizontal="left" vertical="top" wrapText="1"/>
    </xf>
    <xf numFmtId="49" fontId="120" fillId="6" borderId="42" xfId="0" applyNumberFormat="1" applyFont="1" applyFill="1" applyBorder="1" applyAlignment="1">
      <alignment horizontal="left" vertical="center" wrapText="1"/>
    </xf>
    <xf numFmtId="49" fontId="120" fillId="6" borderId="43" xfId="0" applyNumberFormat="1" applyFont="1" applyFill="1" applyBorder="1" applyAlignment="1">
      <alignment horizontal="left" vertical="center" wrapText="1"/>
    </xf>
    <xf numFmtId="221" fontId="121" fillId="6" borderId="10" xfId="0" applyNumberFormat="1" applyFont="1" applyFill="1" applyBorder="1" applyAlignment="1">
      <alignment horizontal="center" vertical="center"/>
    </xf>
    <xf numFmtId="221" fontId="121" fillId="6" borderId="7" xfId="0" applyNumberFormat="1" applyFont="1" applyFill="1" applyBorder="1" applyAlignment="1">
      <alignment horizontal="center" vertical="center"/>
    </xf>
    <xf numFmtId="221" fontId="121" fillId="6" borderId="29" xfId="0" applyNumberFormat="1" applyFont="1" applyFill="1" applyBorder="1" applyAlignment="1">
      <alignment horizontal="center" vertical="center"/>
    </xf>
    <xf numFmtId="49" fontId="121" fillId="6" borderId="16" xfId="0" applyNumberFormat="1" applyFont="1" applyFill="1" applyBorder="1" applyAlignment="1">
      <alignment horizontal="center" vertical="center" wrapText="1"/>
    </xf>
    <xf numFmtId="49" fontId="121" fillId="6" borderId="39" xfId="0" applyNumberFormat="1" applyFont="1" applyFill="1" applyBorder="1" applyAlignment="1">
      <alignment horizontal="center" vertical="center" wrapText="1"/>
    </xf>
    <xf numFmtId="0" fontId="4" fillId="6" borderId="0" xfId="0" applyFont="1" applyFill="1" applyAlignment="1">
      <alignment wrapText="1"/>
    </xf>
    <xf numFmtId="49" fontId="120" fillId="6" borderId="42" xfId="0" applyNumberFormat="1" applyFont="1" applyFill="1" applyBorder="1" applyAlignment="1">
      <alignment horizontal="justify" vertical="center" wrapText="1"/>
    </xf>
    <xf numFmtId="0" fontId="0" fillId="6" borderId="0" xfId="0" applyFill="1" applyBorder="1" applyAlignment="1">
      <alignment horizontal="justify" vertical="center" wrapText="1"/>
    </xf>
    <xf numFmtId="0" fontId="0" fillId="6" borderId="43" xfId="0" applyFill="1" applyBorder="1" applyAlignment="1">
      <alignment horizontal="justify" vertical="center" wrapText="1"/>
    </xf>
    <xf numFmtId="184" fontId="122" fillId="6" borderId="26" xfId="73" applyNumberFormat="1" applyFont="1" applyFill="1" applyBorder="1" applyAlignment="1">
      <alignment horizontal="center" vertical="center"/>
    </xf>
    <xf numFmtId="0" fontId="0" fillId="0" borderId="0" xfId="0" applyAlignment="1">
      <alignment horizontal="left" vertical="center" wrapText="1"/>
    </xf>
    <xf numFmtId="0" fontId="121" fillId="6" borderId="7" xfId="0" applyFont="1" applyFill="1" applyBorder="1" applyAlignment="1">
      <alignment horizontal="center" vertical="center"/>
    </xf>
    <xf numFmtId="0" fontId="121" fillId="6" borderId="22" xfId="0" applyFont="1" applyFill="1" applyBorder="1" applyAlignment="1">
      <alignment horizontal="center" vertical="center"/>
    </xf>
    <xf numFmtId="184" fontId="124" fillId="6" borderId="26" xfId="73" applyNumberFormat="1" applyFont="1" applyFill="1" applyBorder="1" applyAlignment="1">
      <alignment horizontal="center" vertical="center"/>
    </xf>
    <xf numFmtId="49" fontId="132" fillId="6" borderId="0" xfId="0" applyNumberFormat="1" applyFont="1" applyFill="1" applyAlignment="1">
      <alignment horizontal="justify" vertical="justify" wrapText="1"/>
    </xf>
    <xf numFmtId="49" fontId="120" fillId="6" borderId="0" xfId="0" applyNumberFormat="1" applyFont="1" applyFill="1" applyBorder="1" applyAlignment="1">
      <alignment horizontal="justify" vertical="center" wrapText="1"/>
    </xf>
    <xf numFmtId="49" fontId="120" fillId="6" borderId="43" xfId="0" applyNumberFormat="1" applyFont="1" applyFill="1" applyBorder="1" applyAlignment="1">
      <alignment horizontal="justify" vertical="center" wrapText="1"/>
    </xf>
    <xf numFmtId="49" fontId="120" fillId="6" borderId="0" xfId="160" quotePrefix="1" applyNumberFormat="1" applyFont="1" applyFill="1" applyAlignment="1">
      <alignment horizontal="left" vertical="center" wrapText="1"/>
    </xf>
    <xf numFmtId="184" fontId="122" fillId="6" borderId="34" xfId="73" applyNumberFormat="1" applyFont="1" applyFill="1" applyBorder="1" applyAlignment="1">
      <alignment horizontal="center" vertical="center"/>
    </xf>
    <xf numFmtId="49" fontId="123" fillId="6" borderId="0" xfId="160" quotePrefix="1" applyNumberFormat="1" applyFont="1" applyFill="1" applyAlignment="1">
      <alignment horizontal="center" vertical="center" wrapText="1"/>
    </xf>
    <xf numFmtId="49" fontId="123" fillId="6" borderId="0" xfId="160" applyNumberFormat="1" applyFont="1" applyFill="1" applyAlignment="1">
      <alignment horizontal="center" vertical="center" wrapText="1"/>
    </xf>
    <xf numFmtId="164" fontId="121" fillId="0" borderId="24" xfId="73" applyNumberFormat="1" applyFont="1" applyFill="1" applyBorder="1" applyAlignment="1">
      <alignment horizontal="center" vertical="center" wrapText="1"/>
    </xf>
    <xf numFmtId="164" fontId="121" fillId="0" borderId="23" xfId="73" applyNumberFormat="1" applyFont="1" applyFill="1" applyBorder="1" applyAlignment="1">
      <alignment horizontal="center" vertical="center" wrapText="1"/>
    </xf>
    <xf numFmtId="0" fontId="121" fillId="15" borderId="24" xfId="0" applyFont="1" applyFill="1" applyBorder="1" applyAlignment="1">
      <alignment horizontal="center" vertical="center" wrapText="1"/>
    </xf>
    <xf numFmtId="0" fontId="121" fillId="15" borderId="22" xfId="0" applyFont="1" applyFill="1" applyBorder="1" applyAlignment="1">
      <alignment horizontal="center" vertical="center" wrapText="1"/>
    </xf>
    <xf numFmtId="0" fontId="121" fillId="15" borderId="23" xfId="0" applyFont="1" applyFill="1" applyBorder="1" applyAlignment="1">
      <alignment horizontal="center" vertical="center" wrapText="1"/>
    </xf>
    <xf numFmtId="49" fontId="121" fillId="6" borderId="17" xfId="0" applyNumberFormat="1" applyFont="1" applyFill="1" applyBorder="1" applyAlignment="1">
      <alignment horizontal="center" vertical="center" wrapText="1"/>
    </xf>
    <xf numFmtId="49" fontId="121" fillId="6" borderId="40" xfId="0" applyNumberFormat="1" applyFont="1" applyFill="1" applyBorder="1" applyAlignment="1">
      <alignment horizontal="center" vertical="center" wrapText="1"/>
    </xf>
    <xf numFmtId="221" fontId="121" fillId="6" borderId="3" xfId="0" applyNumberFormat="1" applyFont="1" applyFill="1" applyBorder="1" applyAlignment="1">
      <alignment horizontal="center" vertical="center"/>
    </xf>
    <xf numFmtId="49" fontId="121" fillId="6" borderId="42" xfId="0" applyNumberFormat="1" applyFont="1" applyFill="1" applyBorder="1" applyAlignment="1">
      <alignment horizontal="left" vertical="center" wrapText="1"/>
    </xf>
    <xf numFmtId="49" fontId="121" fillId="6" borderId="43" xfId="0" applyNumberFormat="1" applyFont="1" applyFill="1" applyBorder="1" applyAlignment="1">
      <alignment horizontal="left"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150" fillId="6" borderId="0" xfId="0" applyFont="1" applyFill="1" applyBorder="1" applyAlignment="1">
      <alignment horizontal="left"/>
    </xf>
    <xf numFmtId="0" fontId="29" fillId="6" borderId="0" xfId="0" applyFont="1" applyFill="1" applyAlignment="1">
      <alignment horizontal="left" wrapText="1"/>
    </xf>
    <xf numFmtId="49" fontId="30" fillId="6" borderId="0" xfId="0" applyNumberFormat="1" applyFont="1" applyFill="1" applyBorder="1" applyAlignment="1">
      <alignment horizontal="justify" vertical="top" wrapText="1"/>
    </xf>
    <xf numFmtId="49" fontId="28" fillId="6" borderId="3" xfId="0" applyNumberFormat="1" applyFont="1" applyFill="1" applyBorder="1" applyAlignment="1">
      <alignment horizontal="justify" vertical="center" wrapText="1"/>
    </xf>
    <xf numFmtId="49" fontId="28" fillId="6" borderId="10" xfId="0" quotePrefix="1" applyNumberFormat="1" applyFont="1" applyFill="1" applyBorder="1" applyAlignment="1">
      <alignment horizontal="center" vertical="center"/>
    </xf>
    <xf numFmtId="49" fontId="28" fillId="6" borderId="7" xfId="0" quotePrefix="1" applyNumberFormat="1" applyFont="1" applyFill="1" applyBorder="1" applyAlignment="1">
      <alignment horizontal="center" vertical="center"/>
    </xf>
    <xf numFmtId="164" fontId="3" fillId="6" borderId="42" xfId="73" applyNumberFormat="1" applyFont="1" applyFill="1" applyBorder="1" applyAlignment="1">
      <alignment horizontal="center" vertical="center"/>
    </xf>
    <xf numFmtId="164" fontId="3" fillId="6" borderId="43" xfId="73" applyNumberFormat="1" applyFont="1" applyFill="1" applyBorder="1" applyAlignment="1">
      <alignment horizontal="center" vertical="center"/>
    </xf>
    <xf numFmtId="49" fontId="28" fillId="6" borderId="10" xfId="0" applyNumberFormat="1" applyFont="1" applyFill="1" applyBorder="1" applyAlignment="1">
      <alignment horizontal="center" vertical="center"/>
    </xf>
    <xf numFmtId="49" fontId="28" fillId="6" borderId="29" xfId="0" applyNumberFormat="1" applyFont="1" applyFill="1" applyBorder="1" applyAlignment="1">
      <alignment horizontal="center" vertical="center"/>
    </xf>
    <xf numFmtId="0" fontId="25" fillId="6" borderId="0" xfId="0" quotePrefix="1" applyNumberFormat="1" applyFont="1" applyFill="1" applyBorder="1" applyAlignment="1">
      <alignment horizontal="justify" vertical="center" wrapText="1"/>
    </xf>
    <xf numFmtId="0" fontId="0" fillId="6" borderId="0" xfId="0" applyNumberFormat="1" applyFill="1" applyAlignment="1">
      <alignment horizontal="justify" vertical="center" wrapText="1"/>
    </xf>
    <xf numFmtId="0" fontId="30" fillId="6" borderId="0" xfId="0" applyFont="1" applyFill="1" applyBorder="1" applyAlignment="1">
      <alignment horizontal="justify" vertical="top" wrapText="1"/>
    </xf>
    <xf numFmtId="49" fontId="30" fillId="6" borderId="0" xfId="0" applyNumberFormat="1" applyFont="1" applyFill="1" applyBorder="1" applyAlignment="1">
      <alignment horizontal="justify" vertical="center" wrapText="1"/>
    </xf>
    <xf numFmtId="0" fontId="0" fillId="0" borderId="0" xfId="0" applyAlignment="1">
      <alignment horizontal="justify" vertical="center" wrapText="1"/>
    </xf>
    <xf numFmtId="0" fontId="30" fillId="6" borderId="0" xfId="0" applyFont="1" applyFill="1" applyBorder="1" applyAlignment="1">
      <alignment horizontal="justify" vertical="center" wrapText="1"/>
    </xf>
    <xf numFmtId="0" fontId="30" fillId="17" borderId="0" xfId="0" applyFont="1" applyFill="1" applyAlignment="1">
      <alignment horizontal="left" vertical="top" wrapText="1"/>
    </xf>
    <xf numFmtId="0" fontId="3" fillId="6" borderId="0" xfId="0" applyFont="1" applyFill="1" applyBorder="1" applyAlignment="1">
      <alignment horizontal="left" vertical="center" wrapText="1"/>
    </xf>
    <xf numFmtId="0" fontId="30" fillId="17" borderId="0" xfId="0" applyFont="1" applyFill="1" applyAlignment="1">
      <alignment horizontal="justify" vertical="center" wrapText="1"/>
    </xf>
    <xf numFmtId="164" fontId="28" fillId="6" borderId="0" xfId="73" applyNumberFormat="1" applyFont="1" applyFill="1" applyBorder="1" applyAlignment="1">
      <alignment horizontal="center" vertical="center"/>
    </xf>
    <xf numFmtId="0" fontId="30" fillId="6" borderId="0" xfId="0" applyFont="1" applyFill="1" applyBorder="1" applyAlignment="1">
      <alignment horizontal="justify" wrapText="1"/>
    </xf>
    <xf numFmtId="0" fontId="2" fillId="0" borderId="7" xfId="0" applyNumberFormat="1" applyFont="1" applyFill="1" applyBorder="1" applyAlignment="1">
      <alignment horizontal="center" vertical="center"/>
    </xf>
    <xf numFmtId="49" fontId="30" fillId="6" borderId="39" xfId="0" applyNumberFormat="1" applyFont="1" applyFill="1" applyBorder="1" applyAlignment="1">
      <alignment horizontal="center" vertical="center"/>
    </xf>
    <xf numFmtId="49" fontId="30" fillId="6" borderId="40" xfId="0" applyNumberFormat="1" applyFont="1" applyFill="1" applyBorder="1" applyAlignment="1">
      <alignment horizontal="center" vertical="center"/>
    </xf>
    <xf numFmtId="49" fontId="25" fillId="6" borderId="0" xfId="0" quotePrefix="1" applyNumberFormat="1" applyFont="1" applyFill="1" applyBorder="1" applyAlignment="1">
      <alignment horizontal="justify" vertical="center" wrapText="1"/>
    </xf>
    <xf numFmtId="0" fontId="0" fillId="6" borderId="0" xfId="0" applyFill="1" applyAlignment="1">
      <alignment horizontal="justify" vertical="center" wrapText="1"/>
    </xf>
    <xf numFmtId="0" fontId="25" fillId="6" borderId="0" xfId="0" applyFont="1" applyFill="1" applyBorder="1" applyAlignment="1">
      <alignment horizontal="justify" vertical="center" wrapText="1"/>
    </xf>
    <xf numFmtId="0" fontId="25" fillId="6" borderId="0" xfId="0" quotePrefix="1" applyNumberFormat="1" applyFont="1" applyFill="1" applyBorder="1" applyAlignment="1">
      <alignment vertical="center" wrapText="1"/>
    </xf>
    <xf numFmtId="0" fontId="0" fillId="6" borderId="0" xfId="0" applyNumberFormat="1" applyFill="1" applyAlignment="1">
      <alignment vertical="center" wrapText="1"/>
    </xf>
    <xf numFmtId="49" fontId="30" fillId="6" borderId="0" xfId="0" applyNumberFormat="1" applyFont="1" applyFill="1" applyBorder="1" applyAlignment="1">
      <alignment horizontal="left" vertical="center" wrapText="1"/>
    </xf>
    <xf numFmtId="0" fontId="30" fillId="6" borderId="0" xfId="0" applyFont="1" applyFill="1" applyBorder="1" applyAlignment="1">
      <alignment horizontal="left" vertical="center" wrapText="1"/>
    </xf>
    <xf numFmtId="49" fontId="3" fillId="6" borderId="0" xfId="0" applyNumberFormat="1" applyFont="1" applyFill="1" applyBorder="1" applyAlignment="1">
      <alignment horizontal="left" vertical="center" wrapText="1"/>
    </xf>
    <xf numFmtId="0" fontId="30" fillId="17" borderId="0" xfId="0" applyFont="1" applyFill="1" applyAlignment="1">
      <alignment horizontal="left" vertical="justify" wrapText="1"/>
    </xf>
    <xf numFmtId="49" fontId="28" fillId="6" borderId="0" xfId="0" applyNumberFormat="1" applyFont="1" applyFill="1" applyBorder="1" applyAlignment="1">
      <alignment horizontal="justify" vertical="center" wrapText="1"/>
    </xf>
    <xf numFmtId="0" fontId="28" fillId="17" borderId="0" xfId="0" applyFont="1" applyFill="1" applyBorder="1" applyAlignment="1">
      <alignment horizontal="left" vertical="center" wrapText="1"/>
    </xf>
    <xf numFmtId="0" fontId="30" fillId="17" borderId="0" xfId="0" quotePrefix="1" applyFont="1" applyFill="1" applyBorder="1" applyAlignment="1">
      <alignment horizontal="left" vertical="center" wrapText="1"/>
    </xf>
    <xf numFmtId="0" fontId="29" fillId="17" borderId="0" xfId="0" quotePrefix="1" applyFont="1" applyFill="1" applyBorder="1" applyAlignment="1">
      <alignment horizontal="left" vertical="center" wrapText="1"/>
    </xf>
    <xf numFmtId="0" fontId="30" fillId="6" borderId="0" xfId="0" applyNumberFormat="1" applyFont="1" applyFill="1" applyAlignment="1">
      <alignment horizontal="justify" vertical="top" wrapText="1"/>
    </xf>
    <xf numFmtId="0" fontId="146" fillId="6" borderId="0" xfId="0" applyFont="1" applyFill="1" applyBorder="1" applyAlignment="1">
      <alignment wrapText="1"/>
    </xf>
    <xf numFmtId="41" fontId="2" fillId="0" borderId="0" xfId="86" applyNumberFormat="1" applyFont="1" applyFill="1" applyBorder="1" applyAlignment="1">
      <alignment horizontal="center" vertical="center" wrapText="1"/>
    </xf>
  </cellXfs>
  <cellStyles count="305">
    <cellStyle name="          _x000d_&#10;shell=progman.exe_x000d_&#10;m" xfId="1"/>
    <cellStyle name="." xfId="2"/>
    <cellStyle name="??" xfId="3"/>
    <cellStyle name="?? [0.00]_ Att. 1- Cover" xfId="4"/>
    <cellStyle name="?? [0]" xfId="5"/>
    <cellStyle name="???? [0.00]_List-dwg" xfId="6"/>
    <cellStyle name="????_List-dwg" xfId="7"/>
    <cellStyle name="???[0]_Book1" xfId="8"/>
    <cellStyle name="???_???" xfId="9"/>
    <cellStyle name="??[0]_BRE" xfId="10"/>
    <cellStyle name="??_      " xfId="11"/>
    <cellStyle name="??_kc-elec system check list" xfId="12"/>
    <cellStyle name="_Bao cao kiem toan_SD901_L1" xfId="13"/>
    <cellStyle name="_Bao cao tai NPP PHAN DUNG 22-7" xfId="14"/>
    <cellStyle name="_Book1" xfId="15"/>
    <cellStyle name="_Book1_1" xfId="16"/>
    <cellStyle name="_F4-6" xfId="17"/>
    <cellStyle name="_LuuNgay24-07-2006Bao cao tai NPP PHAN DUNG 22-7" xfId="18"/>
    <cellStyle name="_TK 152 chi tiet" xfId="19"/>
    <cellStyle name="_ÿÿÿÿÿ" xfId="20"/>
    <cellStyle name="•W?_Format" xfId="21"/>
    <cellStyle name="•W€_Format" xfId="23"/>
    <cellStyle name="•W_’·Šú‰p•¶" xfId="22"/>
    <cellStyle name="0" xfId="24"/>
    <cellStyle name="0.0" xfId="25"/>
    <cellStyle name="1" xfId="26"/>
    <cellStyle name="15" xfId="27"/>
    <cellStyle name="2" xfId="28"/>
    <cellStyle name="3" xfId="29"/>
    <cellStyle name="4" xfId="30"/>
    <cellStyle name="52" xfId="31"/>
    <cellStyle name="6" xfId="32"/>
    <cellStyle name="ÅëÈ­ [0]_¿ì¹°Åë" xfId="33"/>
    <cellStyle name="AeE­ [0]_INQUIRY ¿µ¾÷AßAø " xfId="34"/>
    <cellStyle name="ÅëÈ­ [0]_laroux" xfId="35"/>
    <cellStyle name="ÅëÈ­_¿ì¹°Åë" xfId="36"/>
    <cellStyle name="AeE­_INQUIRY ¿µ¾÷AßAø " xfId="37"/>
    <cellStyle name="ÅëÈ­_laroux" xfId="38"/>
    <cellStyle name="args.style" xfId="39"/>
    <cellStyle name="ÄÞ¸¶ [0]_¿ì¹°Åë" xfId="40"/>
    <cellStyle name="AÞ¸¶ [0]_INQUIRY ¿?¾÷AßAø " xfId="41"/>
    <cellStyle name="ÄÞ¸¶ [0]_L601CPT" xfId="42"/>
    <cellStyle name="ÄÞ¸¶_¿ì¹°Åë" xfId="43"/>
    <cellStyle name="AÞ¸¶_INQUIRY ¿?¾÷AßAø " xfId="44"/>
    <cellStyle name="ÄÞ¸¶_L601CPT" xfId="45"/>
    <cellStyle name="Body" xfId="46"/>
    <cellStyle name="C?AØ_¿?¾÷CoE² " xfId="47"/>
    <cellStyle name="Ç¥ÁØ_#2(M17)_1" xfId="48"/>
    <cellStyle name="C￥AØ_¿μ¾÷CoE² " xfId="49"/>
    <cellStyle name="Ç¥ÁØ_£Ò£Ã°üÁ¦ÀÛ" xfId="50"/>
    <cellStyle name="C￥AØ_5-1±¤°i " xfId="51"/>
    <cellStyle name="Ç¥ÁØ_6" xfId="52"/>
    <cellStyle name="C￥AØ_Ay°eC￥(2¿u) " xfId="53"/>
    <cellStyle name="Ç¥ÁØ_Áý°èÇ¥_1" xfId="54"/>
    <cellStyle name="C￥AØ_CoAo¹yAI °A¾×¿ⓒ½A " xfId="55"/>
    <cellStyle name="Ç¥ÁØ_ESCº¸°í" xfId="56"/>
    <cellStyle name="C￥AØ_Sheet1_¿μ¾÷CoE² " xfId="57"/>
    <cellStyle name="Ç¥ÁØ_Sheet1_£Ò£Ã°üÁ¦ÀÛÇöÈ²" xfId="58"/>
    <cellStyle name="C￥AØ_Sheet1_0N-HANDLING " xfId="59"/>
    <cellStyle name="Ç¥ÁØ_Sheet1_¼­¿ï-¾È»ê" xfId="60"/>
    <cellStyle name="C￥AØ_Sheet1_Ay°eC￥(2¿u) " xfId="61"/>
    <cellStyle name="Ç¥ÁØ_Sheet1_laroux" xfId="62"/>
    <cellStyle name="Calc Currency (0)" xfId="63"/>
    <cellStyle name="Calc Currency (2)" xfId="64"/>
    <cellStyle name="Calc Percent (0)" xfId="65"/>
    <cellStyle name="Calc Percent (1)" xfId="66"/>
    <cellStyle name="Calc Percent (2)" xfId="67"/>
    <cellStyle name="Calc Units (0)" xfId="68"/>
    <cellStyle name="Calc Units (1)" xfId="69"/>
    <cellStyle name="Calc Units (2)" xfId="70"/>
    <cellStyle name="category" xfId="71"/>
    <cellStyle name="CHUONG" xfId="72"/>
    <cellStyle name="Comma" xfId="73" builtinId="3"/>
    <cellStyle name="Comma  - Style1" xfId="74"/>
    <cellStyle name="Comma  - Style2" xfId="75"/>
    <cellStyle name="Comma  - Style3" xfId="76"/>
    <cellStyle name="Comma  - Style4" xfId="77"/>
    <cellStyle name="Comma  - Style5" xfId="78"/>
    <cellStyle name="Comma  - Style6" xfId="79"/>
    <cellStyle name="Comma  - Style7" xfId="80"/>
    <cellStyle name="Comma  - Style8" xfId="81"/>
    <cellStyle name="Comma [ ,]" xfId="82"/>
    <cellStyle name="Comma [0]" xfId="83" builtinId="6"/>
    <cellStyle name="Comma [00]" xfId="84"/>
    <cellStyle name="comma zerodec" xfId="85"/>
    <cellStyle name="Comma_BCTC" xfId="86"/>
    <cellStyle name="Comma_BCTC 04" xfId="87"/>
    <cellStyle name="Comma_DC" xfId="88"/>
    <cellStyle name="Comma_Thuyet minh-theo TT23" xfId="89"/>
    <cellStyle name="Comma0" xfId="90"/>
    <cellStyle name="Copied" xfId="91"/>
    <cellStyle name="Cࡵrrency_Sheet1_PRODUCTĠ" xfId="92"/>
    <cellStyle name="Currency [00]" xfId="93"/>
    <cellStyle name="Currency0" xfId="94"/>
    <cellStyle name="Currency1" xfId="95"/>
    <cellStyle name="Date" xfId="96"/>
    <cellStyle name="Date Short" xfId="97"/>
    <cellStyle name="Date_Bao Cao Kiem Tra  trung bay Ke milk-yomilk CK 2" xfId="98"/>
    <cellStyle name="DELTA" xfId="99"/>
    <cellStyle name="Dezimal [0]_68574_Materialbedarfsliste" xfId="100"/>
    <cellStyle name="Dezimal_68574_Materialbedarfsliste" xfId="101"/>
    <cellStyle name="Dollar (zero dec)" xfId="102"/>
    <cellStyle name="e" xfId="103"/>
    <cellStyle name="Enter Currency (0)" xfId="104"/>
    <cellStyle name="Enter Currency (2)" xfId="105"/>
    <cellStyle name="Enter Units (0)" xfId="106"/>
    <cellStyle name="Enter Units (1)" xfId="107"/>
    <cellStyle name="Enter Units (2)" xfId="108"/>
    <cellStyle name="Entered" xfId="109"/>
    <cellStyle name="Euro" xfId="110"/>
    <cellStyle name="f" xfId="111"/>
    <cellStyle name="F2" xfId="112"/>
    <cellStyle name="F3" xfId="113"/>
    <cellStyle name="F4" xfId="114"/>
    <cellStyle name="F5" xfId="115"/>
    <cellStyle name="F6" xfId="116"/>
    <cellStyle name="F7" xfId="117"/>
    <cellStyle name="F8" xfId="118"/>
    <cellStyle name="Fixed" xfId="119"/>
    <cellStyle name="Grey" xfId="120"/>
    <cellStyle name="ha" xfId="121"/>
    <cellStyle name="Head 1" xfId="122"/>
    <cellStyle name="HEADER" xfId="123"/>
    <cellStyle name="Header1" xfId="124"/>
    <cellStyle name="Header2" xfId="125"/>
    <cellStyle name="Heading 1" xfId="126" builtinId="16" customBuiltin="1"/>
    <cellStyle name="Heading 2" xfId="127" builtinId="17" customBuiltin="1"/>
    <cellStyle name="HEADING1" xfId="128"/>
    <cellStyle name="HEADING2" xfId="129"/>
    <cellStyle name="HEADINGS" xfId="130"/>
    <cellStyle name="HEADINGSTOP" xfId="131"/>
    <cellStyle name="headoption" xfId="132"/>
    <cellStyle name="Hoa-Scholl" xfId="133"/>
    <cellStyle name="Hyperlink" xfId="134" builtinId="8"/>
    <cellStyle name="Input" xfId="135" builtinId="20" customBuiltin="1"/>
    <cellStyle name="Input [yellow]" xfId="136"/>
    <cellStyle name="jj/mm/00" xfId="137"/>
    <cellStyle name="Ledger 17 x 11 in" xfId="138"/>
    <cellStyle name="Line" xfId="139"/>
    <cellStyle name="Link Currency (0)" xfId="140"/>
    <cellStyle name="Link Currency (2)" xfId="141"/>
    <cellStyle name="Link Units (0)" xfId="142"/>
    <cellStyle name="Link Units (1)" xfId="143"/>
    <cellStyle name="Link Units (2)" xfId="144"/>
    <cellStyle name="Millares [0]_Well Timing" xfId="145"/>
    <cellStyle name="Millares_Well Timing" xfId="146"/>
    <cellStyle name="Model" xfId="147"/>
    <cellStyle name="moi" xfId="148"/>
    <cellStyle name="Moneda [0]_Well Timing" xfId="149"/>
    <cellStyle name="Moneda_Well Timing" xfId="150"/>
    <cellStyle name="Monétaire [0]_TARIFFS DB" xfId="151"/>
    <cellStyle name="Monétaire_TARIFFS DB" xfId="152"/>
    <cellStyle name="n" xfId="153"/>
    <cellStyle name="New" xfId="154"/>
    <cellStyle name="New Times Roman" xfId="155"/>
    <cellStyle name="no dec" xfId="156"/>
    <cellStyle name="ÑONVÒ" xfId="157"/>
    <cellStyle name="Normal" xfId="0" builtinId="0"/>
    <cellStyle name="Normal - Style1" xfId="158"/>
    <cellStyle name="Normal - 유형1" xfId="159"/>
    <cellStyle name="Normal_BCDKT Thuy Loi I" xfId="160"/>
    <cellStyle name="Normal_SHEET" xfId="161"/>
    <cellStyle name="Œ…‹æØ‚è [0.00]_ÆÂ¹²" xfId="162"/>
    <cellStyle name="Œ…‹æØ‚è_laroux" xfId="163"/>
    <cellStyle name="oft Excel]_x000d_&#10;Comment=open=/f ‚ðw’è‚·‚é‚ÆAƒ†[ƒU[’è‹`ŠÖ”‚ðŠÖ”“\‚è•t‚¯‚Ìˆê——‚É“o˜^‚·‚é‚±‚Æ‚ª‚Å‚«‚Ü‚·B_x000d_&#10;Maximized" xfId="164"/>
    <cellStyle name="oft Excel]_x000d_&#10;Comment=The open=/f lines load custom functions into the Paste Function list._x000d_&#10;Maximized=2_x000d_&#10;Basics=1_x000d_&#10;A" xfId="165"/>
    <cellStyle name="oft Excel]_x000d_&#10;Comment=The open=/f lines load custom functions into the Paste Function list._x000d_&#10;Maximized=3_x000d_&#10;Basics=1_x000d_&#10;A" xfId="166"/>
    <cellStyle name="omma [0]_Mktg Prog" xfId="167"/>
    <cellStyle name="ormal_Sheet1_1" xfId="168"/>
    <cellStyle name="paint" xfId="169"/>
    <cellStyle name="per.style" xfId="170"/>
    <cellStyle name="Percent" xfId="171" builtinId="5"/>
    <cellStyle name="Percent [0]" xfId="172"/>
    <cellStyle name="Percent [00]" xfId="173"/>
    <cellStyle name="Percent [2]" xfId="174"/>
    <cellStyle name="PrePop Currency (0)" xfId="175"/>
    <cellStyle name="PrePop Currency (2)" xfId="176"/>
    <cellStyle name="PrePop Units (0)" xfId="177"/>
    <cellStyle name="PrePop Units (1)" xfId="178"/>
    <cellStyle name="PrePop Units (2)" xfId="179"/>
    <cellStyle name="pricing" xfId="180"/>
    <cellStyle name="PSChar" xfId="181"/>
    <cellStyle name="PSHeading" xfId="182"/>
    <cellStyle name="regstoresfromspecstores" xfId="183"/>
    <cellStyle name="RevList" xfId="184"/>
    <cellStyle name="s]_x000d_&#10;spooler=yes_x000d_&#10;load=_x000d_&#10;Beep=yes_x000d_&#10;NullPort=None_x000d_&#10;BorderWidth=3_x000d_&#10;CursorBlinkRate=1200_x000d_&#10;DoubleClickSpeed=452_x000d_&#10;Programs=co" xfId="185"/>
    <cellStyle name="serJet 1200 Series PCL 6" xfId="186"/>
    <cellStyle name="SHADEDSTORES" xfId="187"/>
    <cellStyle name="specstores" xfId="188"/>
    <cellStyle name="Standard_Anpassen der Amortisation" xfId="189"/>
    <cellStyle name="Style 1" xfId="190"/>
    <cellStyle name="Style 10" xfId="191"/>
    <cellStyle name="Style 11" xfId="192"/>
    <cellStyle name="Style 12" xfId="193"/>
    <cellStyle name="Style 13" xfId="194"/>
    <cellStyle name="Style 14" xfId="195"/>
    <cellStyle name="Style 15" xfId="196"/>
    <cellStyle name="Style 2" xfId="197"/>
    <cellStyle name="Style 3" xfId="198"/>
    <cellStyle name="Style 4" xfId="199"/>
    <cellStyle name="Style 5" xfId="200"/>
    <cellStyle name="Style 6" xfId="201"/>
    <cellStyle name="Style 7" xfId="202"/>
    <cellStyle name="Style 8" xfId="203"/>
    <cellStyle name="Style 9" xfId="204"/>
    <cellStyle name="style_1" xfId="205"/>
    <cellStyle name="subhead" xfId="206"/>
    <cellStyle name="Subtotal" xfId="207"/>
    <cellStyle name="T" xfId="208"/>
    <cellStyle name="T_Bang TH gia tri do dang" xfId="209"/>
    <cellStyle name="T_Bao cao kiem toan_SD901_L1" xfId="210"/>
    <cellStyle name="T_Bao cao kttb milk yomilkYAO-mien bac" xfId="211"/>
    <cellStyle name="T_bc_km_ngay" xfId="212"/>
    <cellStyle name="T_Book1" xfId="213"/>
    <cellStyle name="T_Book1_Bao cao kiem toan_SD901_L1" xfId="214"/>
    <cellStyle name="T_Book2" xfId="215"/>
    <cellStyle name="T_Cac bao cao TB  Milk-Yomilk-co Ke- CK 1-Vinh Thang" xfId="216"/>
    <cellStyle name="T_cham diem Milk chu ky2-ANH MINH" xfId="217"/>
    <cellStyle name="T_cham trung bay ck 1 m.Bac milk co ke 2" xfId="218"/>
    <cellStyle name="T_cham trung bay yao smart milk ck 2 mien Bac" xfId="219"/>
    <cellStyle name="T_danh sach chua nop bcao trung bay sua chua  tinh den 1-3-06" xfId="220"/>
    <cellStyle name="T_Danh sach KH TB MilkYomilk Yao  Smart chu ky 2-Vinh Thang" xfId="221"/>
    <cellStyle name="T_Danh sach KH trung bay MilkYomilk co ke chu ky 2-Vinh Thang" xfId="222"/>
    <cellStyle name="T_DD30.6.05" xfId="223"/>
    <cellStyle name="T_DDang QL1A" xfId="224"/>
    <cellStyle name="T_Doi But Son QL18 31-12-04" xfId="225"/>
    <cellStyle name="T_DSACH MILK YO MILK CK 2 M.BAC" xfId="226"/>
    <cellStyle name="T_DSKH Tbay Milk , Yomilk CK 2 Vu Thi Hanh" xfId="227"/>
    <cellStyle name="T_form ton kho CK 2 tuan 8" xfId="228"/>
    <cellStyle name="T_LuuNgay10-01-2007thanhloan" xfId="229"/>
    <cellStyle name="T_NPP Khanh Vinh Thai Nguyen - BC KTTB_CTrinh_TB__20_loc__Milk_Yomilk_CK1" xfId="230"/>
    <cellStyle name="T_QL18 808 - 6-04" xfId="231"/>
    <cellStyle name="T_Sheet1" xfId="232"/>
    <cellStyle name="T_sua chua cham trung bay  mien Bac" xfId="233"/>
    <cellStyle name="T_thu von 2004 - 809" xfId="234"/>
    <cellStyle name="T_VD3 - DThu" xfId="235"/>
    <cellStyle name="Text Indent A" xfId="236"/>
    <cellStyle name="Text Indent B" xfId="237"/>
    <cellStyle name="Text Indent C" xfId="238"/>
    <cellStyle name="th" xfId="239"/>
    <cellStyle name="þ_x001d_ð¤_x000c_¯" xfId="240"/>
    <cellStyle name="þ_x001d_ð¤_x000c_¯þ_x0014__x000d_" xfId="241"/>
    <cellStyle name="þ_x001d_ð¤_x000c_¯þ_x0014__x000d_¨þU" xfId="242"/>
    <cellStyle name="þ_x001d_ð¤_x000c_¯þ_x0014__x000d_¨þU_x0001_" xfId="243"/>
    <cellStyle name="þ_x001d_ð¤_x000c_¯þ_x0014__x000d_¨þU_x0001_À_x0004_" xfId="244"/>
    <cellStyle name="þ_x001d_ð¤_x000c_¯þ_x0014__x000d_¨þU_x0001_À_x0004_ _x0015__x000f_" xfId="245"/>
    <cellStyle name="þ_x001d_ð¤_x000c_¯þ_x0014__x000d_¨þU_x0001_À_x0004_ _x0015__x000f__x0001__x0001_" xfId="246"/>
    <cellStyle name="þ_x001d_ð·_x000c_æþ'_x000d_ßþU_x0001_Ø_x0005_ü_x0014__x0007__x0001__x0001_" xfId="247"/>
    <cellStyle name="þ_x001d_ðK_x000c_Fý_x001b__x000d_9ýU_x0001_Ð_x0008_¦)_x0007__x0001__x0001_" xfId="248"/>
    <cellStyle name="Thuyet minh" xfId="249"/>
    <cellStyle name="thvt" xfId="250"/>
    <cellStyle name="Total" xfId="251" builtinId="25" customBuiltin="1"/>
    <cellStyle name="viet" xfId="252"/>
    <cellStyle name="viet2" xfId="253"/>
    <cellStyle name="VN new romanNormal" xfId="254"/>
    <cellStyle name="Vn Time 13" xfId="255"/>
    <cellStyle name="Vn Time 14" xfId="256"/>
    <cellStyle name="VN time new roman" xfId="257"/>
    <cellStyle name="vnbo" xfId="258"/>
    <cellStyle name="vnhead1" xfId="259"/>
    <cellStyle name="vnhead2" xfId="260"/>
    <cellStyle name="vnhead3" xfId="261"/>
    <cellStyle name="vnhead4" xfId="262"/>
    <cellStyle name="vntxt1" xfId="263"/>
    <cellStyle name="vntxt2" xfId="264"/>
    <cellStyle name="Währung [0]_68574_Materialbedarfsliste" xfId="265"/>
    <cellStyle name="Währung_68574_Materialbedarfsliste" xfId="266"/>
    <cellStyle name="xuan" xfId="267"/>
    <cellStyle name="เครื่องหมายสกุลเงิน [0]_FTC_OFFER" xfId="268"/>
    <cellStyle name="เครื่องหมายสกุลเงิน_FTC_OFFER" xfId="269"/>
    <cellStyle name="ปกติ_FTC_OFFER" xfId="270"/>
    <cellStyle name=" [0.00]_ Att. 1- Cover" xfId="302"/>
    <cellStyle name="_ Att. 1- Cover" xfId="303"/>
    <cellStyle name="?_ Att. 1- Cover" xfId="304"/>
    <cellStyle name="똿뗦먛귟 [0.00]_PRODUCT DETAIL Q1" xfId="271"/>
    <cellStyle name="똿뗦먛귟_PRODUCT DETAIL Q1" xfId="272"/>
    <cellStyle name="믅됞 [0.00]_PRODUCT DETAIL Q1" xfId="273"/>
    <cellStyle name="믅됞_PRODUCT DETAIL Q1" xfId="274"/>
    <cellStyle name="백분율_95" xfId="275"/>
    <cellStyle name="뷭?_BOOKSHIP" xfId="276"/>
    <cellStyle name="콤마 [ - 유형1" xfId="280"/>
    <cellStyle name="콤마 [ - 유형2" xfId="281"/>
    <cellStyle name="콤마 [ - 유형3" xfId="282"/>
    <cellStyle name="콤마 [ - 유형4" xfId="283"/>
    <cellStyle name="콤마 [ - 유형5" xfId="284"/>
    <cellStyle name="콤마 [ - 유형6" xfId="285"/>
    <cellStyle name="콤마 [ - 유형7" xfId="286"/>
    <cellStyle name="콤마 [ - 유형8" xfId="287"/>
    <cellStyle name="콤마 [0]_ 비목별 월별기술 " xfId="288"/>
    <cellStyle name="콤마_ 비목별 월별기술 " xfId="289"/>
    <cellStyle name="통화 [0]_1202" xfId="290"/>
    <cellStyle name="통화_1202" xfId="291"/>
    <cellStyle name="표준_(정보부문)월별인원계획" xfId="292"/>
    <cellStyle name="一般_00Q3902REV.1" xfId="277"/>
    <cellStyle name="千分位[0]_00Q3902REV.1" xfId="278"/>
    <cellStyle name="千分位_00Q3902REV.1" xfId="279"/>
    <cellStyle name="常规_Aug. total -1st-2002" xfId="293"/>
    <cellStyle name="桁区切り [0.00]_BE-BQ" xfId="294"/>
    <cellStyle name="桁区切り_BE-BQ" xfId="295"/>
    <cellStyle name="標準_BE-BQ" xfId="296"/>
    <cellStyle name="貨幣 [0]_00Q3902REV.1" xfId="297"/>
    <cellStyle name="貨幣[0]_BRE" xfId="298"/>
    <cellStyle name="貨幣_00Q3902REV.1" xfId="299"/>
    <cellStyle name="通貨 [0.00]_BE-BQ" xfId="300"/>
    <cellStyle name="通貨_BE-BQ" xfId="301"/>
  </cellStyles>
  <dxfs count="3">
    <dxf>
      <font>
        <b/>
        <i/>
        <condense val="0"/>
        <extend val="0"/>
      </font>
    </dxf>
    <dxf>
      <font>
        <b val="0"/>
        <i/>
        <condense val="0"/>
        <extend val="0"/>
      </font>
    </dxf>
    <dxf>
      <font>
        <b/>
        <i val="0"/>
        <strike val="0"/>
        <condense val="0"/>
        <extend val="0"/>
      </font>
    </dxf>
  </dxfs>
  <tableStyles count="0" defaultTableStyle="TableStyleMedium2"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
  <dimension ref="A1"/>
  <sheetViews>
    <sheetView showGridLines="0" defaultGridColor="0" view="pageBreakPreview" colorId="0" workbookViewId="0">
      <pane activePane="bottomRight" state="frozenSplit"/>
    </sheetView>
  </sheetViews>
  <sheetFormatPr defaultRowHeight="15"/>
  <sheetData/>
  <phoneticPr fontId="36" type="noConversion"/>
  <pageMargins left="0.7" right="0.7" top="0.75" bottom="0.75"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dimension ref="A1"/>
  <sheetViews>
    <sheetView showGridLines="0" showRowColHeaders="0" showZeros="0" showOutlineSymbols="0" topLeftCell="B20" zoomScaleNormal="32" zoomScaleSheetLayoutView="6" workbookViewId="0"/>
  </sheetViews>
  <sheetFormatPr defaultRowHeight="15"/>
  <sheetData/>
  <phoneticPr fontId="180"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dimension ref="A1"/>
  <sheetViews>
    <sheetView showGridLines="0" showRowColHeaders="0" showZeros="0" showOutlineSymbols="0" topLeftCell="B20" zoomScaleNormal="32" zoomScaleSheetLayoutView="6" workbookViewId="0"/>
  </sheetViews>
  <sheetFormatPr defaultRowHeight="15"/>
  <sheetData/>
  <phoneticPr fontId="180"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dimension ref="A1"/>
  <sheetViews>
    <sheetView showGridLines="0" showRowColHeaders="0" showZeros="0" showOutlineSymbols="0" topLeftCell="B20" zoomScaleNormal="32" zoomScaleSheetLayoutView="6" workbookViewId="0"/>
  </sheetViews>
  <sheetFormatPr defaultRowHeight="15"/>
  <sheetData/>
  <phoneticPr fontId="18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dimension ref="A1"/>
  <sheetViews>
    <sheetView showGridLines="0" showRowColHeaders="0" showZeros="0" showOutlineSymbols="0" topLeftCell="B20" zoomScaleNormal="32" zoomScaleSheetLayoutView="6" workbookViewId="0"/>
  </sheetViews>
  <sheetFormatPr defaultRowHeight="15"/>
  <sheetData/>
  <phoneticPr fontId="18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dimension ref="A1"/>
  <sheetViews>
    <sheetView showGridLines="0" showRowColHeaders="0" showZeros="0" showOutlineSymbols="0" topLeftCell="B20" zoomScaleNormal="32" zoomScaleSheetLayoutView="6" workbookViewId="0"/>
  </sheetViews>
  <sheetFormatPr defaultRowHeight="15"/>
  <sheetData/>
  <phoneticPr fontId="180"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dimension ref="A1"/>
  <sheetViews>
    <sheetView showGridLines="0" showRowColHeaders="0" showZeros="0" showOutlineSymbols="0" topLeftCell="B20" zoomScaleNormal="32" zoomScaleSheetLayoutView="6" workbookViewId="0"/>
  </sheetViews>
  <sheetFormatPr defaultRowHeight="15"/>
  <sheetData/>
  <phoneticPr fontId="180"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dimension ref="A1"/>
  <sheetViews>
    <sheetView showGridLines="0" showRowColHeaders="0" showZeros="0" showOutlineSymbols="0" topLeftCell="B20" zoomScaleNormal="32" zoomScaleSheetLayoutView="6" workbookViewId="0"/>
  </sheetViews>
  <sheetFormatPr defaultRowHeight="15"/>
  <sheetData/>
  <phoneticPr fontId="180" type="noConversion"/>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dimension ref="A1"/>
  <sheetViews>
    <sheetView showGridLines="0" showRowColHeaders="0" showZeros="0" showOutlineSymbols="0" topLeftCell="B20" zoomScaleNormal="32" zoomScaleSheetLayoutView="6" workbookViewId="0"/>
  </sheetViews>
  <sheetFormatPr defaultRowHeight="15"/>
  <sheetData/>
  <phoneticPr fontId="180" type="noConversion"/>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dimension ref="A1"/>
  <sheetViews>
    <sheetView showGridLines="0" showRowColHeaders="0" showZeros="0" showOutlineSymbols="0" topLeftCell="B20" zoomScaleNormal="32" zoomScaleSheetLayoutView="6" workbookViewId="0"/>
  </sheetViews>
  <sheetFormatPr defaultRowHeight="15"/>
  <sheetData/>
  <phoneticPr fontId="180" type="noConversion"/>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dimension ref="A1"/>
  <sheetViews>
    <sheetView showGridLines="0" showRowColHeaders="0" showZeros="0" showOutlineSymbols="0" topLeftCell="B20" zoomScaleNormal="32" zoomScaleSheetLayoutView="6" workbookViewId="0"/>
  </sheetViews>
  <sheetFormatPr defaultRowHeight="15"/>
  <sheetData/>
  <phoneticPr fontId="18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sheetPr codeName="Sheet2"/>
  <dimension ref="A1"/>
  <sheetViews>
    <sheetView zoomScaleSheetLayoutView="4" workbookViewId="0"/>
  </sheetViews>
  <sheetFormatPr defaultRowHeight="15"/>
  <sheetData/>
  <phoneticPr fontId="36" type="noConversion"/>
  <pageMargins left="0.75" right="0.75" top="1" bottom="1" header="0.5" footer="0.5"/>
  <headerFooter alignWithMargins="0"/>
</worksheet>
</file>

<file path=xl/worksheets/sheet20.xml><?xml version="1.0" encoding="utf-8"?>
<worksheet xmlns="http://schemas.openxmlformats.org/spreadsheetml/2006/main" xmlns:r="http://schemas.openxmlformats.org/officeDocument/2006/relationships">
  <dimension ref="A1"/>
  <sheetViews>
    <sheetView showGridLines="0" showRowColHeaders="0" showZeros="0" showOutlineSymbols="0" topLeftCell="B20" zoomScaleNormal="32" zoomScaleSheetLayoutView="6" workbookViewId="0"/>
  </sheetViews>
  <sheetFormatPr defaultRowHeight="15"/>
  <sheetData/>
  <phoneticPr fontId="180" type="noConversion"/>
  <pageMargins left="0.75" right="0.75" top="1" bottom="1" header="0.5" footer="0.5"/>
  <headerFooter alignWithMargins="0"/>
</worksheet>
</file>

<file path=xl/worksheets/sheet21.xml><?xml version="1.0" encoding="utf-8"?>
<worksheet xmlns="http://schemas.openxmlformats.org/spreadsheetml/2006/main" xmlns:r="http://schemas.openxmlformats.org/officeDocument/2006/relationships">
  <dimension ref="A1"/>
  <sheetViews>
    <sheetView showGridLines="0" showRowColHeaders="0" showZeros="0" showOutlineSymbols="0" topLeftCell="B20" zoomScaleNormal="32" zoomScaleSheetLayoutView="6" workbookViewId="0"/>
  </sheetViews>
  <sheetFormatPr defaultRowHeight="15"/>
  <sheetData/>
  <phoneticPr fontId="180" type="noConversion"/>
  <pageMargins left="0.75" right="0.75" top="1" bottom="1" header="0.5" footer="0.5"/>
  <headerFooter alignWithMargins="0"/>
</worksheet>
</file>

<file path=xl/worksheets/sheet22.xml><?xml version="1.0" encoding="utf-8"?>
<worksheet xmlns="http://schemas.openxmlformats.org/spreadsheetml/2006/main" xmlns:r="http://schemas.openxmlformats.org/officeDocument/2006/relationships">
  <dimension ref="A1"/>
  <sheetViews>
    <sheetView showGridLines="0" showRowColHeaders="0" showZeros="0" showOutlineSymbols="0" topLeftCell="B20" zoomScaleNormal="32" zoomScaleSheetLayoutView="6" workbookViewId="0"/>
  </sheetViews>
  <sheetFormatPr defaultRowHeight="15"/>
  <sheetData/>
  <phoneticPr fontId="180" type="noConversion"/>
  <pageMargins left="0.75" right="0.75" top="1" bottom="1" header="0.5" footer="0.5"/>
  <headerFooter alignWithMargins="0"/>
</worksheet>
</file>

<file path=xl/worksheets/sheet23.xml><?xml version="1.0" encoding="utf-8"?>
<worksheet xmlns="http://schemas.openxmlformats.org/spreadsheetml/2006/main" xmlns:r="http://schemas.openxmlformats.org/officeDocument/2006/relationships">
  <dimension ref="A1"/>
  <sheetViews>
    <sheetView showGridLines="0" showRowColHeaders="0" showZeros="0" showOutlineSymbols="0" topLeftCell="B20" zoomScaleNormal="32" zoomScaleSheetLayoutView="6" workbookViewId="0"/>
  </sheetViews>
  <sheetFormatPr defaultRowHeight="15"/>
  <sheetData/>
  <phoneticPr fontId="180" type="noConversion"/>
  <pageMargins left="0.75" right="0.75" top="1" bottom="1" header="0.5" footer="0.5"/>
  <headerFooter alignWithMargins="0"/>
</worksheet>
</file>

<file path=xl/worksheets/sheet24.xml><?xml version="1.0" encoding="utf-8"?>
<worksheet xmlns="http://schemas.openxmlformats.org/spreadsheetml/2006/main" xmlns:r="http://schemas.openxmlformats.org/officeDocument/2006/relationships">
  <dimension ref="A1"/>
  <sheetViews>
    <sheetView showGridLines="0" showRowColHeaders="0" showZeros="0" showOutlineSymbols="0" topLeftCell="B20" zoomScaleNormal="32" zoomScaleSheetLayoutView="6" workbookViewId="0"/>
  </sheetViews>
  <sheetFormatPr defaultRowHeight="15"/>
  <sheetData/>
  <phoneticPr fontId="180" type="noConversion"/>
  <pageMargins left="0.75" right="0.75" top="1" bottom="1" header="0.5" footer="0.5"/>
  <headerFooter alignWithMargins="0"/>
</worksheet>
</file>

<file path=xl/worksheets/sheet25.xml><?xml version="1.0" encoding="utf-8"?>
<worksheet xmlns="http://schemas.openxmlformats.org/spreadsheetml/2006/main" xmlns:r="http://schemas.openxmlformats.org/officeDocument/2006/relationships">
  <dimension ref="A1"/>
  <sheetViews>
    <sheetView showGridLines="0" showRowColHeaders="0" showZeros="0" showOutlineSymbols="0" topLeftCell="B20" zoomScaleNormal="32" zoomScaleSheetLayoutView="6" workbookViewId="0"/>
  </sheetViews>
  <sheetFormatPr defaultRowHeight="15"/>
  <sheetData/>
  <phoneticPr fontId="180" type="noConversion"/>
  <pageMargins left="0.75" right="0.75" top="1" bottom="1" header="0.5" footer="0.5"/>
  <headerFooter alignWithMargins="0"/>
</worksheet>
</file>

<file path=xl/worksheets/sheet26.xml><?xml version="1.0" encoding="utf-8"?>
<worksheet xmlns="http://schemas.openxmlformats.org/spreadsheetml/2006/main" xmlns:r="http://schemas.openxmlformats.org/officeDocument/2006/relationships">
  <dimension ref="A1"/>
  <sheetViews>
    <sheetView showGridLines="0" showRowColHeaders="0" showZeros="0" showOutlineSymbols="0" topLeftCell="B20" zoomScaleNormal="32" zoomScaleSheetLayoutView="6" workbookViewId="0"/>
  </sheetViews>
  <sheetFormatPr defaultRowHeight="15"/>
  <sheetData/>
  <phoneticPr fontId="180" type="noConversion"/>
  <pageMargins left="0.75" right="0.75" top="1" bottom="1" header="0.5" footer="0.5"/>
  <headerFooter alignWithMargins="0"/>
</worksheet>
</file>

<file path=xl/worksheets/sheet27.xml><?xml version="1.0" encoding="utf-8"?>
<worksheet xmlns="http://schemas.openxmlformats.org/spreadsheetml/2006/main" xmlns:r="http://schemas.openxmlformats.org/officeDocument/2006/relationships">
  <dimension ref="A1"/>
  <sheetViews>
    <sheetView showGridLines="0" showRowColHeaders="0" showZeros="0" showOutlineSymbols="0" topLeftCell="B20" zoomScaleNormal="32" zoomScaleSheetLayoutView="6" workbookViewId="0"/>
  </sheetViews>
  <sheetFormatPr defaultRowHeight="15"/>
  <sheetData/>
  <phoneticPr fontId="180" type="noConversion"/>
  <pageMargins left="0.75" right="0.75" top="1" bottom="1" header="0.5" footer="0.5"/>
  <headerFooter alignWithMargins="0"/>
</worksheet>
</file>

<file path=xl/worksheets/sheet28.xml><?xml version="1.0" encoding="utf-8"?>
<worksheet xmlns="http://schemas.openxmlformats.org/spreadsheetml/2006/main" xmlns:r="http://schemas.openxmlformats.org/officeDocument/2006/relationships">
  <dimension ref="A1"/>
  <sheetViews>
    <sheetView showGridLines="0" showRowColHeaders="0" showZeros="0" showOutlineSymbols="0" topLeftCell="B20" zoomScaleNormal="32" zoomScaleSheetLayoutView="6" workbookViewId="0"/>
  </sheetViews>
  <sheetFormatPr defaultRowHeight="15"/>
  <sheetData/>
  <phoneticPr fontId="180" type="noConversion"/>
  <pageMargins left="0.75" right="0.75" top="1" bottom="1" header="0.5" footer="0.5"/>
  <headerFooter alignWithMargins="0"/>
</worksheet>
</file>

<file path=xl/worksheets/sheet29.xml><?xml version="1.0" encoding="utf-8"?>
<worksheet xmlns="http://schemas.openxmlformats.org/spreadsheetml/2006/main" xmlns:r="http://schemas.openxmlformats.org/officeDocument/2006/relationships">
  <dimension ref="A1"/>
  <sheetViews>
    <sheetView showGridLines="0" showRowColHeaders="0" showZeros="0" showOutlineSymbols="0" topLeftCell="B20" zoomScaleNormal="32" zoomScaleSheetLayoutView="6" workbookViewId="0"/>
  </sheetViews>
  <sheetFormatPr defaultRowHeight="15"/>
  <sheetData/>
  <phoneticPr fontId="18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sheetPr codeName="Sheet3" enableFormatConditionsCalculation="0">
    <tabColor indexed="34"/>
  </sheetPr>
  <dimension ref="A1:R98"/>
  <sheetViews>
    <sheetView zoomScale="85" workbookViewId="0">
      <pane ySplit="6" topLeftCell="A56" activePane="bottomLeft" state="frozen"/>
      <selection pane="bottomLeft" activeCell="B72" sqref="B72"/>
    </sheetView>
  </sheetViews>
  <sheetFormatPr defaultRowHeight="18" customHeight="1"/>
  <cols>
    <col min="1" max="1" width="3" style="531" customWidth="1"/>
    <col min="2" max="2" width="32.375" style="532" customWidth="1"/>
    <col min="3" max="3" width="16.875" style="533" customWidth="1"/>
    <col min="4" max="4" width="19.375" style="533" customWidth="1"/>
    <col min="5" max="5" width="18.875" style="533" customWidth="1"/>
    <col min="6" max="6" width="18.25" style="533" customWidth="1"/>
    <col min="7" max="7" width="16.75" style="533" hidden="1" customWidth="1"/>
    <col min="8" max="8" width="14.125" style="551" hidden="1" customWidth="1"/>
    <col min="9" max="9" width="21.25" style="536" customWidth="1"/>
    <col min="10" max="10" width="17.875" style="551" customWidth="1"/>
    <col min="11" max="11" width="13" style="551" customWidth="1"/>
    <col min="12" max="12" width="14.5" style="558" bestFit="1" customWidth="1"/>
    <col min="13" max="13" width="14.25" style="558" bestFit="1" customWidth="1"/>
    <col min="14" max="14" width="14.25" style="536" bestFit="1" customWidth="1"/>
    <col min="15" max="15" width="18.5" style="531" customWidth="1"/>
    <col min="16" max="16384" width="9" style="531"/>
  </cols>
  <sheetData>
    <row r="1" spans="1:18" s="149" customFormat="1" ht="21" customHeight="1">
      <c r="A1" s="529" t="str">
        <f>BS!A1</f>
        <v>C«ng ty Cæ phÇn §Çu t­ &amp; Th­¬ng m¹i DÇu KhÝ S«ng §µ</v>
      </c>
      <c r="H1" s="150"/>
      <c r="I1" s="150" t="s">
        <v>1591</v>
      </c>
      <c r="L1" s="518"/>
      <c r="M1" s="157"/>
      <c r="N1" s="157"/>
      <c r="O1" s="157"/>
      <c r="P1" s="157"/>
      <c r="Q1" s="157"/>
      <c r="R1" s="518"/>
    </row>
    <row r="2" spans="1:18" s="151" customFormat="1" ht="18" customHeight="1">
      <c r="A2" s="530" t="str">
        <f>BS!A2</f>
        <v>§Þa chØ: TÇng 4, CT3, tßa nhµ Fodacon, ®­êng TrÇn Phó</v>
      </c>
      <c r="H2" s="152"/>
      <c r="I2" s="152" t="e">
        <f>BS!#REF!</f>
        <v>#REF!</v>
      </c>
      <c r="L2" s="519"/>
      <c r="M2" s="155"/>
      <c r="N2" s="155"/>
      <c r="O2" s="155"/>
      <c r="P2" s="155"/>
      <c r="Q2" s="155"/>
      <c r="R2" s="519"/>
    </row>
    <row r="3" spans="1:18" s="151" customFormat="1" ht="18" customHeight="1">
      <c r="A3" s="520">
        <f>'Ten '!$A$12</f>
        <v>0</v>
      </c>
      <c r="B3" s="153"/>
      <c r="C3" s="153"/>
      <c r="D3" s="153"/>
      <c r="E3" s="153"/>
      <c r="F3" s="153"/>
      <c r="G3" s="153"/>
      <c r="H3" s="154"/>
      <c r="I3" s="154" t="str">
        <f>BS!N3</f>
        <v>Gi÷a niªn ®é kÕt thóc ngµy 30/06/2013</v>
      </c>
      <c r="L3" s="519"/>
      <c r="M3" s="155"/>
      <c r="N3" s="155"/>
      <c r="O3" s="155"/>
      <c r="P3" s="155"/>
      <c r="Q3" s="155"/>
      <c r="R3" s="519"/>
    </row>
    <row r="4" spans="1:18" ht="18" customHeight="1">
      <c r="H4" s="534"/>
      <c r="I4" s="534"/>
      <c r="J4" s="534"/>
      <c r="K4" s="534"/>
      <c r="L4" s="535"/>
      <c r="M4" s="535"/>
    </row>
    <row r="5" spans="1:18" ht="18" customHeight="1">
      <c r="B5" s="537" t="s">
        <v>439</v>
      </c>
      <c r="H5" s="534"/>
      <c r="I5" s="534"/>
      <c r="J5" s="534"/>
      <c r="K5" s="534"/>
      <c r="L5" s="535"/>
      <c r="M5" s="535"/>
    </row>
    <row r="6" spans="1:18" s="149" customFormat="1" ht="33.75" customHeight="1">
      <c r="B6" s="538" t="s">
        <v>1681</v>
      </c>
      <c r="C6" s="539" t="s">
        <v>1686</v>
      </c>
      <c r="D6" s="539" t="s">
        <v>1687</v>
      </c>
      <c r="E6" s="539" t="s">
        <v>1688</v>
      </c>
      <c r="F6" s="539" t="s">
        <v>1689</v>
      </c>
      <c r="G6" s="539" t="s">
        <v>1391</v>
      </c>
      <c r="H6" s="539" t="s">
        <v>1690</v>
      </c>
      <c r="I6" s="539" t="s">
        <v>1685</v>
      </c>
      <c r="J6" s="540" t="s">
        <v>246</v>
      </c>
      <c r="K6" s="540"/>
      <c r="L6" s="525"/>
      <c r="M6" s="525"/>
      <c r="N6" s="518"/>
    </row>
    <row r="7" spans="1:18" s="541" customFormat="1" ht="22.5" customHeight="1">
      <c r="B7" s="542" t="s">
        <v>230</v>
      </c>
      <c r="C7" s="1039"/>
      <c r="D7" s="1039"/>
      <c r="E7" s="1039"/>
      <c r="F7" s="1039"/>
      <c r="G7" s="543"/>
      <c r="H7" s="543"/>
      <c r="I7" s="544"/>
      <c r="J7" s="534"/>
      <c r="K7" s="534"/>
      <c r="L7" s="535"/>
      <c r="M7" s="535"/>
      <c r="N7" s="536"/>
    </row>
    <row r="8" spans="1:18" s="541" customFormat="1" ht="22.5" customHeight="1">
      <c r="B8" s="545" t="s">
        <v>1684</v>
      </c>
      <c r="C8" s="1040">
        <v>5188001506</v>
      </c>
      <c r="D8" s="1040">
        <v>7023243441</v>
      </c>
      <c r="E8" s="1040">
        <v>5645284610</v>
      </c>
      <c r="F8" s="1040">
        <v>177616469</v>
      </c>
      <c r="G8" s="546"/>
      <c r="H8" s="546">
        <v>0</v>
      </c>
      <c r="I8" s="546">
        <f>SUM(C8:H8)</f>
        <v>18034146026</v>
      </c>
      <c r="J8" s="534">
        <f>I8-BS!N46</f>
        <v>-56121214913</v>
      </c>
      <c r="K8" s="534"/>
      <c r="L8" s="535"/>
      <c r="M8" s="535"/>
      <c r="N8" s="536"/>
    </row>
    <row r="9" spans="1:18" s="1041" customFormat="1" ht="17.25" customHeight="1">
      <c r="B9" s="1042" t="s">
        <v>249</v>
      </c>
      <c r="C9" s="1043">
        <f t="shared" ref="C9:H9" si="0">SUM(C10:C14)</f>
        <v>0</v>
      </c>
      <c r="D9" s="1043">
        <f t="shared" si="0"/>
        <v>1278661318</v>
      </c>
      <c r="E9" s="1043">
        <f t="shared" si="0"/>
        <v>972387001</v>
      </c>
      <c r="F9" s="1043">
        <f t="shared" si="0"/>
        <v>0</v>
      </c>
      <c r="G9" s="1043">
        <f t="shared" si="0"/>
        <v>0</v>
      </c>
      <c r="H9" s="1043">
        <f t="shared" si="0"/>
        <v>0</v>
      </c>
      <c r="I9" s="1044">
        <f>SUM(C9:H9)</f>
        <v>2251048319</v>
      </c>
      <c r="J9" s="1045"/>
      <c r="K9" s="1045"/>
      <c r="L9" s="1046"/>
      <c r="M9" s="1046"/>
      <c r="N9" s="1047"/>
    </row>
    <row r="10" spans="1:18" ht="17.25" customHeight="1">
      <c r="B10" s="547" t="s">
        <v>560</v>
      </c>
      <c r="C10" s="548"/>
      <c r="D10" s="548"/>
      <c r="E10" s="548"/>
      <c r="F10" s="548"/>
      <c r="G10" s="548"/>
      <c r="H10" s="548"/>
      <c r="I10" s="546"/>
      <c r="J10" s="549"/>
      <c r="K10" s="549"/>
      <c r="L10" s="550"/>
      <c r="M10" s="550"/>
      <c r="N10" s="551"/>
    </row>
    <row r="11" spans="1:18" ht="17.25" customHeight="1">
      <c r="B11" s="547" t="s">
        <v>561</v>
      </c>
      <c r="C11" s="548"/>
      <c r="D11" s="548">
        <v>326981818</v>
      </c>
      <c r="E11" s="548"/>
      <c r="F11" s="548"/>
      <c r="G11" s="548"/>
      <c r="H11" s="548"/>
      <c r="I11" s="546"/>
      <c r="J11" s="549"/>
      <c r="K11" s="549"/>
      <c r="L11" s="550"/>
      <c r="M11" s="550"/>
      <c r="N11" s="551"/>
    </row>
    <row r="12" spans="1:18" ht="17.25" customHeight="1">
      <c r="B12" s="547" t="s">
        <v>93</v>
      </c>
      <c r="C12" s="548"/>
      <c r="D12" s="548">
        <f>866819000+25620500</f>
        <v>892439500</v>
      </c>
      <c r="E12" s="548">
        <v>972387001</v>
      </c>
      <c r="F12" s="548"/>
      <c r="G12" s="548"/>
      <c r="H12" s="548"/>
      <c r="I12" s="546"/>
      <c r="J12" s="549"/>
      <c r="K12" s="549"/>
      <c r="L12" s="550"/>
      <c r="M12" s="550"/>
      <c r="N12" s="551"/>
    </row>
    <row r="13" spans="1:18" ht="17.25" customHeight="1">
      <c r="B13" s="547" t="s">
        <v>562</v>
      </c>
      <c r="C13" s="548"/>
      <c r="D13" s="548">
        <f>39100000+20140000</f>
        <v>59240000</v>
      </c>
      <c r="E13" s="548"/>
      <c r="F13" s="548"/>
      <c r="G13" s="548"/>
      <c r="H13" s="548"/>
      <c r="I13" s="546"/>
      <c r="J13" s="549"/>
      <c r="K13" s="549"/>
      <c r="L13" s="550"/>
      <c r="M13" s="550"/>
      <c r="N13" s="551"/>
    </row>
    <row r="14" spans="1:18" ht="17.25" customHeight="1">
      <c r="B14" s="547" t="s">
        <v>563</v>
      </c>
      <c r="C14" s="548"/>
      <c r="D14" s="548"/>
      <c r="E14" s="548"/>
      <c r="F14" s="548"/>
      <c r="G14" s="548"/>
      <c r="H14" s="548"/>
      <c r="I14" s="546"/>
      <c r="J14" s="549"/>
      <c r="K14" s="549"/>
      <c r="L14" s="550"/>
      <c r="M14" s="550"/>
      <c r="N14" s="551"/>
    </row>
    <row r="15" spans="1:18" s="1041" customFormat="1" ht="17.25" customHeight="1">
      <c r="B15" s="1042" t="s">
        <v>231</v>
      </c>
      <c r="C15" s="1043">
        <f t="shared" ref="C15:H15" si="1">SUM(C16:C20)</f>
        <v>0</v>
      </c>
      <c r="D15" s="1043">
        <f t="shared" si="1"/>
        <v>0</v>
      </c>
      <c r="E15" s="1043">
        <f t="shared" si="1"/>
        <v>0</v>
      </c>
      <c r="F15" s="1043">
        <f t="shared" si="1"/>
        <v>0</v>
      </c>
      <c r="G15" s="1043">
        <f t="shared" si="1"/>
        <v>0</v>
      </c>
      <c r="H15" s="1043">
        <f t="shared" si="1"/>
        <v>0</v>
      </c>
      <c r="I15" s="1044">
        <f>SUM(C15:H15)</f>
        <v>0</v>
      </c>
      <c r="J15" s="1045"/>
      <c r="K15" s="1045"/>
      <c r="L15" s="1046"/>
      <c r="M15" s="1046"/>
      <c r="N15" s="1047"/>
    </row>
    <row r="16" spans="1:18" ht="17.25" customHeight="1">
      <c r="B16" s="547" t="s">
        <v>560</v>
      </c>
      <c r="C16" s="548"/>
      <c r="D16" s="548"/>
      <c r="E16" s="548"/>
      <c r="F16" s="548"/>
      <c r="G16" s="548"/>
      <c r="H16" s="548"/>
      <c r="I16" s="546"/>
      <c r="J16" s="549"/>
      <c r="K16" s="549"/>
      <c r="L16" s="550"/>
      <c r="M16" s="550"/>
      <c r="N16" s="551"/>
    </row>
    <row r="17" spans="2:14" ht="17.25" customHeight="1">
      <c r="B17" s="547" t="s">
        <v>561</v>
      </c>
      <c r="C17" s="548"/>
      <c r="E17" s="548"/>
      <c r="F17" s="548"/>
      <c r="G17" s="548"/>
      <c r="H17" s="548"/>
      <c r="I17" s="546"/>
      <c r="J17" s="549"/>
      <c r="K17" s="549"/>
      <c r="L17" s="550"/>
      <c r="M17" s="550"/>
      <c r="N17" s="551"/>
    </row>
    <row r="18" spans="2:14" ht="17.25" customHeight="1">
      <c r="B18" s="547" t="s">
        <v>93</v>
      </c>
      <c r="C18" s="548"/>
      <c r="D18" s="548"/>
      <c r="E18" s="548"/>
      <c r="F18" s="548"/>
      <c r="G18" s="548"/>
      <c r="H18" s="548"/>
      <c r="I18" s="546"/>
      <c r="J18" s="549"/>
      <c r="K18" s="549"/>
      <c r="L18" s="550"/>
      <c r="M18" s="550"/>
      <c r="N18" s="551"/>
    </row>
    <row r="19" spans="2:14" ht="17.25" customHeight="1">
      <c r="B19" s="547" t="s">
        <v>562</v>
      </c>
      <c r="C19" s="548"/>
      <c r="D19" s="548">
        <v>0</v>
      </c>
      <c r="E19" s="548"/>
      <c r="F19" s="548"/>
      <c r="G19" s="548"/>
      <c r="H19" s="548"/>
      <c r="I19" s="546"/>
      <c r="J19" s="549"/>
      <c r="K19" s="549"/>
      <c r="L19" s="550"/>
      <c r="M19" s="550"/>
      <c r="N19" s="551"/>
    </row>
    <row r="20" spans="2:14" ht="17.25" customHeight="1">
      <c r="B20" s="547" t="s">
        <v>563</v>
      </c>
      <c r="C20" s="548"/>
      <c r="D20" s="548"/>
      <c r="E20" s="548"/>
      <c r="F20" s="548"/>
      <c r="G20" s="548"/>
      <c r="H20" s="548"/>
      <c r="I20" s="546"/>
      <c r="J20" s="549"/>
      <c r="K20" s="549"/>
      <c r="L20" s="550"/>
      <c r="M20" s="550"/>
      <c r="N20" s="551"/>
    </row>
    <row r="21" spans="2:14" s="1041" customFormat="1" ht="17.25" customHeight="1">
      <c r="B21" s="1042" t="s">
        <v>232</v>
      </c>
      <c r="C21" s="1043">
        <f>SUM(C22:C26)</f>
        <v>0</v>
      </c>
      <c r="D21" s="1043">
        <f>SUM(D22:D26)</f>
        <v>1621965927</v>
      </c>
      <c r="E21" s="1043">
        <f>SUM(E22:E26)</f>
        <v>1402491565</v>
      </c>
      <c r="F21" s="1043">
        <f>SUM(F22:F26)</f>
        <v>0</v>
      </c>
      <c r="G21" s="1043">
        <v>0</v>
      </c>
      <c r="H21" s="1043">
        <v>0</v>
      </c>
      <c r="I21" s="1044">
        <f>SUM(C21:H21)</f>
        <v>3024457492</v>
      </c>
      <c r="J21" s="1045"/>
      <c r="K21" s="1045"/>
      <c r="L21" s="1046"/>
      <c r="M21" s="1046"/>
      <c r="N21" s="1047"/>
    </row>
    <row r="22" spans="2:14" ht="17.25" customHeight="1">
      <c r="B22" s="547" t="s">
        <v>560</v>
      </c>
      <c r="C22" s="548"/>
      <c r="D22" s="1048">
        <v>755146927</v>
      </c>
      <c r="E22" s="1048">
        <v>430104564</v>
      </c>
      <c r="F22" s="548"/>
      <c r="G22" s="548"/>
      <c r="H22" s="548"/>
      <c r="I22" s="546"/>
      <c r="J22" s="549"/>
      <c r="K22" s="549"/>
      <c r="L22" s="550"/>
      <c r="M22" s="550"/>
      <c r="N22" s="551"/>
    </row>
    <row r="23" spans="2:14" ht="17.25" customHeight="1">
      <c r="B23" s="547" t="s">
        <v>561</v>
      </c>
      <c r="C23" s="548"/>
      <c r="D23" s="1048">
        <v>866819000</v>
      </c>
      <c r="E23" s="1048">
        <v>972387001</v>
      </c>
      <c r="F23" s="548"/>
      <c r="G23" s="548"/>
      <c r="H23" s="548"/>
      <c r="I23" s="546"/>
      <c r="J23" s="549"/>
      <c r="K23" s="549"/>
      <c r="L23" s="550"/>
      <c r="M23" s="550"/>
      <c r="N23" s="551"/>
    </row>
    <row r="24" spans="2:14" ht="17.25" customHeight="1">
      <c r="B24" s="547" t="s">
        <v>93</v>
      </c>
      <c r="C24" s="548"/>
      <c r="E24" s="548"/>
      <c r="F24" s="548"/>
      <c r="G24" s="548"/>
      <c r="H24" s="548"/>
      <c r="I24" s="546"/>
      <c r="J24" s="549"/>
      <c r="K24" s="549"/>
      <c r="L24" s="550"/>
      <c r="M24" s="550"/>
      <c r="N24" s="551"/>
    </row>
    <row r="25" spans="2:14" ht="17.25" customHeight="1">
      <c r="B25" s="547" t="s">
        <v>562</v>
      </c>
      <c r="C25" s="548"/>
      <c r="D25" s="548">
        <v>0</v>
      </c>
      <c r="E25" s="548"/>
      <c r="F25" s="548"/>
      <c r="G25" s="548"/>
      <c r="H25" s="548"/>
      <c r="I25" s="546"/>
      <c r="J25" s="549"/>
      <c r="K25" s="549"/>
      <c r="L25" s="550"/>
      <c r="M25" s="550"/>
      <c r="N25" s="551"/>
    </row>
    <row r="26" spans="2:14" ht="17.25" customHeight="1">
      <c r="B26" s="547" t="s">
        <v>563</v>
      </c>
      <c r="C26" s="548"/>
      <c r="D26" s="548"/>
      <c r="E26" s="548"/>
      <c r="F26" s="548"/>
      <c r="G26" s="548"/>
      <c r="H26" s="548"/>
      <c r="I26" s="546"/>
      <c r="J26" s="549"/>
      <c r="K26" s="549"/>
      <c r="L26" s="550"/>
      <c r="M26" s="550"/>
      <c r="N26" s="551"/>
    </row>
    <row r="27" spans="2:14" s="1041" customFormat="1" ht="17.25" customHeight="1">
      <c r="B27" s="1042" t="s">
        <v>233</v>
      </c>
      <c r="C27" s="1043"/>
      <c r="D27" s="1043"/>
      <c r="E27" s="1043"/>
      <c r="F27" s="1043"/>
      <c r="G27" s="1043">
        <v>0</v>
      </c>
      <c r="H27" s="1043">
        <v>0</v>
      </c>
      <c r="I27" s="1044">
        <f>SUM(C27:H27)</f>
        <v>0</v>
      </c>
      <c r="J27" s="1045"/>
      <c r="K27" s="1045"/>
      <c r="L27" s="1046"/>
      <c r="M27" s="1046"/>
      <c r="N27" s="1047"/>
    </row>
    <row r="28" spans="2:14" s="1041" customFormat="1" ht="17.25" customHeight="1">
      <c r="B28" s="1042" t="s">
        <v>234</v>
      </c>
      <c r="C28" s="1043">
        <f>SUM(C29:C33)</f>
        <v>0</v>
      </c>
      <c r="D28" s="1043">
        <f>SUM(D29:D33)</f>
        <v>863647427</v>
      </c>
      <c r="E28" s="1043">
        <f>SUM(E29:E33)</f>
        <v>430104564</v>
      </c>
      <c r="F28" s="1043">
        <f>SUM(F29:F33)</f>
        <v>0</v>
      </c>
      <c r="G28" s="1043">
        <v>0</v>
      </c>
      <c r="H28" s="1043">
        <v>0</v>
      </c>
      <c r="I28" s="1044">
        <f>SUM(C28:H28)</f>
        <v>1293751991</v>
      </c>
      <c r="J28" s="1045"/>
      <c r="K28" s="1045"/>
      <c r="L28" s="1046"/>
      <c r="M28" s="1046"/>
      <c r="N28" s="1047"/>
    </row>
    <row r="29" spans="2:14" ht="17.25" customHeight="1">
      <c r="B29" s="547" t="s">
        <v>560</v>
      </c>
      <c r="C29" s="548"/>
      <c r="D29" s="548">
        <v>763647427</v>
      </c>
      <c r="E29" s="548">
        <v>430104564</v>
      </c>
      <c r="F29" s="548"/>
      <c r="G29" s="548"/>
      <c r="H29" s="548"/>
      <c r="I29" s="546"/>
      <c r="J29" s="549"/>
      <c r="K29" s="549"/>
      <c r="L29" s="550"/>
      <c r="M29" s="550"/>
      <c r="N29" s="551"/>
    </row>
    <row r="30" spans="2:14" ht="17.25" customHeight="1">
      <c r="B30" s="547" t="s">
        <v>561</v>
      </c>
      <c r="C30" s="548"/>
      <c r="D30" s="548"/>
      <c r="E30" s="548"/>
      <c r="F30" s="548"/>
      <c r="G30" s="548"/>
      <c r="H30" s="548"/>
      <c r="I30" s="546"/>
      <c r="J30" s="549"/>
      <c r="K30" s="549"/>
      <c r="L30" s="550"/>
      <c r="M30" s="550"/>
      <c r="N30" s="551"/>
    </row>
    <row r="31" spans="2:14" ht="17.25" customHeight="1">
      <c r="B31" s="547" t="s">
        <v>93</v>
      </c>
      <c r="C31" s="548"/>
      <c r="D31" s="548"/>
      <c r="E31" s="548"/>
      <c r="F31" s="548"/>
      <c r="G31" s="548"/>
      <c r="H31" s="548"/>
      <c r="I31" s="546"/>
      <c r="J31" s="549"/>
      <c r="K31" s="549"/>
      <c r="L31" s="550"/>
      <c r="M31" s="550"/>
      <c r="N31" s="551"/>
    </row>
    <row r="32" spans="2:14" ht="17.25" customHeight="1">
      <c r="B32" s="547" t="s">
        <v>562</v>
      </c>
      <c r="C32" s="548"/>
      <c r="D32" s="548">
        <v>100000000</v>
      </c>
      <c r="E32" s="548"/>
      <c r="F32" s="548"/>
      <c r="G32" s="548"/>
      <c r="H32" s="548"/>
      <c r="I32" s="546"/>
      <c r="J32" s="549"/>
      <c r="K32" s="549"/>
      <c r="L32" s="550"/>
      <c r="M32" s="550"/>
      <c r="N32" s="551"/>
    </row>
    <row r="33" spans="2:14" ht="17.25" customHeight="1">
      <c r="B33" s="547" t="s">
        <v>563</v>
      </c>
      <c r="C33" s="548"/>
      <c r="D33" s="548"/>
      <c r="E33" s="548"/>
      <c r="F33" s="548"/>
      <c r="G33" s="548"/>
      <c r="H33" s="548"/>
      <c r="I33" s="546"/>
      <c r="J33" s="549"/>
      <c r="K33" s="549"/>
      <c r="L33" s="550"/>
      <c r="M33" s="550"/>
      <c r="N33" s="551"/>
    </row>
    <row r="34" spans="2:14" s="1041" customFormat="1" ht="17.25" customHeight="1">
      <c r="B34" s="1042" t="s">
        <v>235</v>
      </c>
      <c r="C34" s="1043">
        <f>SUM(C35:C39)</f>
        <v>0</v>
      </c>
      <c r="D34" s="1043">
        <f>SUM(D35:D39)</f>
        <v>1621965927</v>
      </c>
      <c r="E34" s="1043">
        <f>SUM(E35:E39)</f>
        <v>1402491565</v>
      </c>
      <c r="F34" s="1043">
        <f>SUM(F35:F39)</f>
        <v>0</v>
      </c>
      <c r="G34" s="1043">
        <v>0</v>
      </c>
      <c r="H34" s="1043">
        <v>0</v>
      </c>
      <c r="I34" s="1044">
        <f>SUM(C34:H34)</f>
        <v>3024457492</v>
      </c>
      <c r="J34" s="1045"/>
      <c r="K34" s="1045"/>
      <c r="L34" s="1046"/>
      <c r="M34" s="1046"/>
      <c r="N34" s="1047"/>
    </row>
    <row r="35" spans="2:14" ht="17.25" customHeight="1">
      <c r="B35" s="547" t="s">
        <v>560</v>
      </c>
      <c r="C35" s="548"/>
      <c r="D35" s="548"/>
      <c r="E35" s="548"/>
      <c r="F35" s="548"/>
      <c r="G35" s="548"/>
      <c r="H35" s="548"/>
      <c r="I35" s="546"/>
      <c r="J35" s="549"/>
      <c r="K35" s="549"/>
      <c r="L35" s="550"/>
      <c r="M35" s="550"/>
      <c r="N35" s="551"/>
    </row>
    <row r="36" spans="2:14" ht="17.25" customHeight="1">
      <c r="B36" s="547" t="s">
        <v>561</v>
      </c>
      <c r="C36" s="548"/>
      <c r="D36" s="1048">
        <v>755146927</v>
      </c>
      <c r="E36" s="1048">
        <v>430104564</v>
      </c>
      <c r="F36" s="1049"/>
      <c r="G36" s="548"/>
      <c r="H36" s="548"/>
      <c r="I36" s="546"/>
      <c r="J36" s="549"/>
      <c r="K36" s="549"/>
      <c r="L36" s="550"/>
      <c r="M36" s="550"/>
      <c r="N36" s="551"/>
    </row>
    <row r="37" spans="2:14" ht="17.25" customHeight="1">
      <c r="B37" s="547" t="s">
        <v>93</v>
      </c>
      <c r="C37" s="548"/>
      <c r="D37" s="1048">
        <v>866819000</v>
      </c>
      <c r="E37" s="1048">
        <v>972387001</v>
      </c>
      <c r="F37" s="548"/>
      <c r="G37" s="548"/>
      <c r="H37" s="548"/>
      <c r="I37" s="546"/>
      <c r="J37" s="549"/>
      <c r="K37" s="549"/>
      <c r="L37" s="550"/>
      <c r="M37" s="550"/>
      <c r="N37" s="551"/>
    </row>
    <row r="38" spans="2:14" ht="17.25" customHeight="1">
      <c r="B38" s="547" t="s">
        <v>562</v>
      </c>
      <c r="C38" s="548"/>
      <c r="D38" s="548"/>
      <c r="E38" s="548"/>
      <c r="F38" s="548"/>
      <c r="G38" s="548"/>
      <c r="H38" s="548"/>
      <c r="I38" s="546"/>
      <c r="J38" s="549"/>
      <c r="K38" s="549"/>
      <c r="L38" s="550"/>
      <c r="M38" s="550"/>
      <c r="N38" s="551"/>
    </row>
    <row r="39" spans="2:14" ht="17.25" customHeight="1">
      <c r="B39" s="547" t="s">
        <v>563</v>
      </c>
      <c r="C39" s="548"/>
      <c r="D39" s="548"/>
      <c r="E39" s="548"/>
      <c r="F39" s="548"/>
      <c r="G39" s="548"/>
      <c r="H39" s="548"/>
      <c r="I39" s="546"/>
      <c r="J39" s="549">
        <f>I40-BS!H46</f>
        <v>-12446834496</v>
      </c>
      <c r="K39" s="549"/>
      <c r="L39" s="550"/>
      <c r="M39" s="550"/>
      <c r="N39" s="551"/>
    </row>
    <row r="40" spans="2:14" s="541" customFormat="1" ht="22.5" customHeight="1">
      <c r="B40" s="545" t="s">
        <v>1353</v>
      </c>
      <c r="C40" s="546">
        <f t="shared" ref="C40:I40" si="2">C8+C9+C15+C21-C27-C28-C34</f>
        <v>5188001506</v>
      </c>
      <c r="D40" s="546">
        <f t="shared" si="2"/>
        <v>7438257332</v>
      </c>
      <c r="E40" s="546">
        <f t="shared" si="2"/>
        <v>6187567047</v>
      </c>
      <c r="F40" s="546">
        <f t="shared" si="2"/>
        <v>177616469</v>
      </c>
      <c r="G40" s="546">
        <f t="shared" si="2"/>
        <v>0</v>
      </c>
      <c r="H40" s="546">
        <f t="shared" si="2"/>
        <v>0</v>
      </c>
      <c r="I40" s="546">
        <f t="shared" si="2"/>
        <v>18991442354</v>
      </c>
      <c r="J40" s="534">
        <f>I40-BS!L46</f>
        <v>-55163918585</v>
      </c>
      <c r="K40" s="534"/>
      <c r="L40" s="535"/>
      <c r="M40" s="535"/>
      <c r="N40" s="536"/>
    </row>
    <row r="41" spans="2:14" s="541" customFormat="1" ht="22.5" customHeight="1">
      <c r="B41" s="552" t="s">
        <v>1683</v>
      </c>
      <c r="C41" s="553"/>
      <c r="D41" s="553"/>
      <c r="E41" s="553"/>
      <c r="F41" s="553"/>
      <c r="G41" s="553"/>
      <c r="H41" s="553"/>
      <c r="I41" s="554"/>
      <c r="J41" s="534"/>
      <c r="K41" s="534"/>
      <c r="L41" s="535"/>
      <c r="M41" s="535"/>
      <c r="N41" s="536"/>
    </row>
    <row r="42" spans="2:14" s="541" customFormat="1" ht="22.5" customHeight="1">
      <c r="B42" s="545" t="s">
        <v>1684</v>
      </c>
      <c r="C42" s="546">
        <v>3549912825</v>
      </c>
      <c r="D42" s="546">
        <v>2495374608</v>
      </c>
      <c r="E42" s="546">
        <v>1891115086</v>
      </c>
      <c r="F42" s="546">
        <v>169116458</v>
      </c>
      <c r="G42" s="546"/>
      <c r="H42" s="546">
        <v>0</v>
      </c>
      <c r="I42" s="546">
        <f>SUM(C42:H42)</f>
        <v>8105518977</v>
      </c>
      <c r="J42" s="534">
        <f>I42+BS!N47</f>
        <v>-7158500763</v>
      </c>
      <c r="K42" s="534"/>
      <c r="L42" s="535"/>
      <c r="M42" s="535"/>
      <c r="N42" s="536"/>
    </row>
    <row r="43" spans="2:14" s="1057" customFormat="1" ht="17.25" customHeight="1">
      <c r="B43" s="1052" t="s">
        <v>251</v>
      </c>
      <c r="C43" s="1050">
        <f>SUM(C44:C48)</f>
        <v>299914002</v>
      </c>
      <c r="D43" s="1050">
        <f>SUM(D44:D48)</f>
        <v>1086695458</v>
      </c>
      <c r="E43" s="1050">
        <f>SUM(E44:E48)</f>
        <v>767904101</v>
      </c>
      <c r="F43" s="1050">
        <f>SUM(F44:F48)</f>
        <v>45009166</v>
      </c>
      <c r="G43" s="1050"/>
      <c r="H43" s="1050">
        <v>0</v>
      </c>
      <c r="I43" s="1053">
        <f>SUM(C43:H43)</f>
        <v>2199522727</v>
      </c>
      <c r="J43" s="1054"/>
      <c r="K43" s="1054"/>
      <c r="L43" s="1055"/>
      <c r="M43" s="1055"/>
      <c r="N43" s="1056"/>
    </row>
    <row r="44" spans="2:14" ht="17.25" customHeight="1">
      <c r="B44" s="547" t="s">
        <v>560</v>
      </c>
      <c r="C44" s="548">
        <v>0</v>
      </c>
      <c r="D44" s="548">
        <f>249637187</f>
        <v>249637187</v>
      </c>
      <c r="E44" s="548">
        <v>248666113</v>
      </c>
      <c r="F44" s="548">
        <v>7100000</v>
      </c>
      <c r="G44" s="548"/>
      <c r="H44" s="548"/>
      <c r="I44" s="546"/>
      <c r="J44" s="549"/>
      <c r="K44" s="549"/>
      <c r="L44" s="550"/>
      <c r="M44" s="550"/>
      <c r="N44" s="551"/>
    </row>
    <row r="45" spans="2:14" ht="17.25" customHeight="1">
      <c r="B45" s="547" t="s">
        <v>561</v>
      </c>
      <c r="C45" s="548">
        <v>270342574</v>
      </c>
      <c r="D45" s="548">
        <v>639236385</v>
      </c>
      <c r="E45" s="548">
        <v>450540667</v>
      </c>
      <c r="F45" s="548">
        <v>0</v>
      </c>
      <c r="G45" s="548"/>
      <c r="H45" s="548"/>
      <c r="I45" s="546"/>
      <c r="J45" s="549"/>
      <c r="K45" s="549"/>
      <c r="L45" s="550"/>
      <c r="M45" s="550"/>
      <c r="N45" s="551"/>
    </row>
    <row r="46" spans="2:14" ht="17.25" customHeight="1">
      <c r="B46" s="547" t="s">
        <v>93</v>
      </c>
      <c r="C46" s="548"/>
      <c r="D46" s="548">
        <v>0</v>
      </c>
      <c r="E46" s="548">
        <v>0</v>
      </c>
      <c r="F46" s="548">
        <v>0</v>
      </c>
      <c r="G46" s="548"/>
      <c r="H46" s="548"/>
      <c r="I46" s="546"/>
      <c r="J46" s="549"/>
      <c r="K46" s="549"/>
      <c r="L46" s="550"/>
      <c r="M46" s="550"/>
      <c r="N46" s="551"/>
    </row>
    <row r="47" spans="2:14" ht="17.25" customHeight="1">
      <c r="B47" s="547" t="s">
        <v>562</v>
      </c>
      <c r="C47" s="548"/>
      <c r="D47" s="548">
        <v>79364798</v>
      </c>
      <c r="E47" s="548">
        <v>68697321</v>
      </c>
      <c r="F47" s="548">
        <v>37909166</v>
      </c>
      <c r="G47" s="548"/>
      <c r="H47" s="548"/>
      <c r="I47" s="546"/>
      <c r="J47" s="549"/>
      <c r="K47" s="549"/>
      <c r="L47" s="550"/>
      <c r="M47" s="550"/>
      <c r="N47" s="551"/>
    </row>
    <row r="48" spans="2:14" ht="17.25" customHeight="1">
      <c r="B48" s="547" t="s">
        <v>563</v>
      </c>
      <c r="C48" s="548">
        <v>29571428</v>
      </c>
      <c r="D48" s="548">
        <v>118457088</v>
      </c>
      <c r="E48" s="548"/>
      <c r="F48" s="548"/>
      <c r="G48" s="548"/>
      <c r="H48" s="548"/>
      <c r="I48" s="546"/>
      <c r="J48" s="549"/>
      <c r="K48" s="549"/>
      <c r="L48" s="550"/>
      <c r="M48" s="550"/>
      <c r="N48" s="551"/>
    </row>
    <row r="49" spans="2:14" s="1057" customFormat="1" ht="17.25" customHeight="1">
      <c r="B49" s="1052" t="s">
        <v>232</v>
      </c>
      <c r="C49" s="1050">
        <f t="shared" ref="C49:H49" si="3">SUM(C50:C54)</f>
        <v>0</v>
      </c>
      <c r="D49" s="1050">
        <f t="shared" si="3"/>
        <v>412984760</v>
      </c>
      <c r="E49" s="1050">
        <f t="shared" si="3"/>
        <v>313437898</v>
      </c>
      <c r="F49" s="1050">
        <f t="shared" si="3"/>
        <v>0</v>
      </c>
      <c r="G49" s="1050">
        <f t="shared" si="3"/>
        <v>0</v>
      </c>
      <c r="H49" s="1050">
        <f t="shared" si="3"/>
        <v>0</v>
      </c>
      <c r="I49" s="1053">
        <f>SUM(C49:H49)</f>
        <v>726422658</v>
      </c>
      <c r="J49" s="1054"/>
      <c r="K49" s="1054"/>
      <c r="L49" s="1055"/>
      <c r="M49" s="1055"/>
      <c r="N49" s="1056"/>
    </row>
    <row r="50" spans="2:14" ht="17.25" customHeight="1">
      <c r="B50" s="547" t="s">
        <v>560</v>
      </c>
      <c r="C50" s="548"/>
      <c r="D50" s="1048">
        <v>411567593</v>
      </c>
      <c r="E50" s="1048">
        <v>313437898</v>
      </c>
      <c r="F50" s="548"/>
      <c r="G50" s="548"/>
      <c r="H50" s="548"/>
      <c r="I50" s="546"/>
      <c r="J50" s="549"/>
      <c r="K50" s="549"/>
      <c r="L50" s="550"/>
      <c r="M50" s="550"/>
      <c r="N50" s="551"/>
    </row>
    <row r="51" spans="2:14" ht="17.25" customHeight="1">
      <c r="B51" s="547" t="s">
        <v>561</v>
      </c>
      <c r="C51" s="548"/>
      <c r="D51" s="548"/>
      <c r="E51" s="548"/>
      <c r="F51" s="548"/>
      <c r="G51" s="548"/>
      <c r="H51" s="548"/>
      <c r="I51" s="546"/>
      <c r="J51" s="549"/>
      <c r="K51" s="549"/>
      <c r="L51" s="550"/>
      <c r="M51" s="550"/>
      <c r="N51" s="551"/>
    </row>
    <row r="52" spans="2:14" ht="17.25" customHeight="1">
      <c r="B52" s="547" t="s">
        <v>93</v>
      </c>
      <c r="C52" s="548"/>
      <c r="D52" s="1060">
        <v>1417167</v>
      </c>
      <c r="E52" s="548"/>
      <c r="F52" s="548"/>
      <c r="G52" s="548"/>
      <c r="H52" s="548"/>
      <c r="I52" s="546"/>
      <c r="J52" s="549"/>
      <c r="K52" s="549"/>
      <c r="L52" s="550"/>
      <c r="M52" s="550"/>
      <c r="N52" s="551"/>
    </row>
    <row r="53" spans="2:14" ht="17.25" customHeight="1">
      <c r="B53" s="547" t="s">
        <v>562</v>
      </c>
      <c r="C53" s="548"/>
      <c r="D53" s="548"/>
      <c r="E53" s="548"/>
      <c r="F53" s="548"/>
      <c r="G53" s="548"/>
      <c r="H53" s="548"/>
      <c r="I53" s="546"/>
      <c r="J53" s="549"/>
      <c r="K53" s="549"/>
      <c r="L53" s="550"/>
      <c r="M53" s="550"/>
      <c r="N53" s="551"/>
    </row>
    <row r="54" spans="2:14" ht="17.25" customHeight="1">
      <c r="B54" s="547" t="s">
        <v>563</v>
      </c>
      <c r="C54" s="548"/>
      <c r="D54" s="548"/>
      <c r="E54" s="548"/>
      <c r="F54" s="548"/>
      <c r="G54" s="548"/>
      <c r="H54" s="548"/>
      <c r="I54" s="546"/>
      <c r="J54" s="549"/>
      <c r="K54" s="549"/>
      <c r="L54" s="550"/>
      <c r="M54" s="550"/>
      <c r="N54" s="551"/>
    </row>
    <row r="55" spans="2:14" s="1057" customFormat="1" ht="17.25" customHeight="1">
      <c r="B55" s="1052" t="s">
        <v>233</v>
      </c>
      <c r="C55" s="1050"/>
      <c r="D55" s="1050"/>
      <c r="E55" s="1050"/>
      <c r="F55" s="1050"/>
      <c r="G55" s="1050">
        <v>0</v>
      </c>
      <c r="H55" s="1050">
        <v>0</v>
      </c>
      <c r="I55" s="1053">
        <f>SUM(C55:H55)</f>
        <v>0</v>
      </c>
      <c r="J55" s="1054"/>
      <c r="K55" s="1054"/>
      <c r="L55" s="1055"/>
      <c r="M55" s="1055"/>
      <c r="N55" s="1056"/>
    </row>
    <row r="56" spans="2:14" ht="17.25" customHeight="1">
      <c r="B56" s="547" t="s">
        <v>560</v>
      </c>
      <c r="C56" s="548"/>
      <c r="D56" s="548"/>
      <c r="E56" s="548"/>
      <c r="F56" s="548"/>
      <c r="G56" s="548"/>
      <c r="H56" s="548"/>
      <c r="I56" s="546"/>
      <c r="J56" s="549"/>
      <c r="K56" s="549"/>
      <c r="L56" s="550"/>
      <c r="M56" s="550"/>
      <c r="N56" s="551"/>
    </row>
    <row r="57" spans="2:14" ht="17.25" customHeight="1">
      <c r="B57" s="547" t="s">
        <v>561</v>
      </c>
      <c r="C57" s="548"/>
      <c r="D57" s="548"/>
      <c r="E57" s="548"/>
      <c r="F57" s="548"/>
      <c r="G57" s="548"/>
      <c r="H57" s="548"/>
      <c r="I57" s="546"/>
      <c r="J57" s="549"/>
      <c r="K57" s="549"/>
      <c r="L57" s="550"/>
      <c r="M57" s="550"/>
      <c r="N57" s="551"/>
    </row>
    <row r="58" spans="2:14" ht="17.25" customHeight="1">
      <c r="B58" s="547" t="s">
        <v>93</v>
      </c>
      <c r="C58" s="548"/>
      <c r="D58" s="548"/>
      <c r="E58" s="548"/>
      <c r="F58" s="548"/>
      <c r="G58" s="548"/>
      <c r="H58" s="548"/>
      <c r="I58" s="546"/>
      <c r="J58" s="549"/>
      <c r="K58" s="549"/>
      <c r="L58" s="550"/>
      <c r="M58" s="550"/>
      <c r="N58" s="551"/>
    </row>
    <row r="59" spans="2:14" ht="17.25" customHeight="1">
      <c r="B59" s="547" t="s">
        <v>562</v>
      </c>
      <c r="C59" s="548"/>
      <c r="D59" s="548"/>
      <c r="E59" s="548"/>
      <c r="F59" s="548"/>
      <c r="G59" s="548"/>
      <c r="H59" s="548"/>
      <c r="I59" s="546"/>
      <c r="J59" s="549"/>
      <c r="K59" s="549"/>
      <c r="L59" s="550"/>
      <c r="M59" s="550"/>
      <c r="N59" s="551"/>
    </row>
    <row r="60" spans="2:14" ht="17.25" customHeight="1">
      <c r="B60" s="547" t="s">
        <v>563</v>
      </c>
      <c r="C60" s="548"/>
      <c r="D60" s="548"/>
      <c r="E60" s="548"/>
      <c r="F60" s="548"/>
      <c r="G60" s="548"/>
      <c r="H60" s="548"/>
      <c r="I60" s="546"/>
      <c r="J60" s="549"/>
      <c r="K60" s="549"/>
      <c r="L60" s="550"/>
      <c r="M60" s="550"/>
      <c r="N60" s="551"/>
    </row>
    <row r="61" spans="2:14" s="1057" customFormat="1" ht="17.25" customHeight="1">
      <c r="B61" s="1052" t="s">
        <v>234</v>
      </c>
      <c r="C61" s="1050">
        <f t="shared" ref="C61:H61" si="4">SUM(C62:C66)</f>
        <v>0</v>
      </c>
      <c r="D61" s="1050">
        <f t="shared" si="4"/>
        <v>511567593</v>
      </c>
      <c r="E61" s="1050">
        <f t="shared" si="4"/>
        <v>313437898</v>
      </c>
      <c r="F61" s="1050">
        <f t="shared" si="4"/>
        <v>0</v>
      </c>
      <c r="G61" s="1050">
        <f t="shared" si="4"/>
        <v>0</v>
      </c>
      <c r="H61" s="1050">
        <f t="shared" si="4"/>
        <v>0</v>
      </c>
      <c r="I61" s="1053">
        <f>SUM(C61:H61)</f>
        <v>825005491</v>
      </c>
      <c r="J61" s="1054"/>
      <c r="K61" s="1054"/>
      <c r="L61" s="1055"/>
      <c r="M61" s="1055"/>
      <c r="N61" s="1056"/>
    </row>
    <row r="62" spans="2:14" ht="17.25" customHeight="1">
      <c r="B62" s="547" t="s">
        <v>560</v>
      </c>
      <c r="C62" s="548"/>
      <c r="D62" s="548">
        <v>411567593</v>
      </c>
      <c r="E62" s="548">
        <v>313437898</v>
      </c>
      <c r="F62" s="548"/>
      <c r="G62" s="548"/>
      <c r="H62" s="548"/>
      <c r="I62" s="546"/>
      <c r="J62" s="549"/>
      <c r="K62" s="549"/>
      <c r="L62" s="550"/>
      <c r="M62" s="550"/>
      <c r="N62" s="551"/>
    </row>
    <row r="63" spans="2:14" ht="17.25" customHeight="1">
      <c r="B63" s="547" t="s">
        <v>561</v>
      </c>
      <c r="C63" s="548"/>
      <c r="D63" s="548"/>
      <c r="E63" s="548"/>
      <c r="F63" s="548"/>
      <c r="G63" s="548"/>
      <c r="H63" s="548"/>
      <c r="I63" s="546"/>
      <c r="J63" s="549"/>
      <c r="K63" s="549"/>
      <c r="L63" s="550"/>
      <c r="M63" s="550"/>
      <c r="N63" s="551"/>
    </row>
    <row r="64" spans="2:14" ht="17.25" customHeight="1">
      <c r="B64" s="547" t="s">
        <v>93</v>
      </c>
      <c r="C64" s="548"/>
      <c r="D64" s="548"/>
      <c r="E64" s="548"/>
      <c r="F64" s="548"/>
      <c r="G64" s="548"/>
      <c r="H64" s="548"/>
      <c r="I64" s="546"/>
      <c r="J64" s="549"/>
      <c r="K64" s="549"/>
      <c r="L64" s="550"/>
      <c r="M64" s="550"/>
      <c r="N64" s="551"/>
    </row>
    <row r="65" spans="2:14" ht="17.25" customHeight="1">
      <c r="B65" s="547" t="s">
        <v>562</v>
      </c>
      <c r="C65" s="548"/>
      <c r="D65" s="548">
        <v>100000000</v>
      </c>
      <c r="E65" s="548"/>
      <c r="F65" s="548"/>
      <c r="G65" s="548"/>
      <c r="H65" s="548"/>
      <c r="I65" s="546"/>
      <c r="J65" s="549"/>
      <c r="K65" s="549"/>
      <c r="L65" s="550"/>
      <c r="M65" s="550"/>
      <c r="N65" s="551"/>
    </row>
    <row r="66" spans="2:14" ht="17.25" customHeight="1">
      <c r="B66" s="547" t="s">
        <v>563</v>
      </c>
      <c r="C66" s="548"/>
      <c r="D66" s="548"/>
      <c r="E66" s="548"/>
      <c r="F66" s="548"/>
      <c r="G66" s="548"/>
      <c r="H66" s="548"/>
      <c r="I66" s="546"/>
      <c r="J66" s="549"/>
      <c r="K66" s="549"/>
      <c r="L66" s="550"/>
      <c r="M66" s="550"/>
      <c r="N66" s="551"/>
    </row>
    <row r="67" spans="2:14" s="1057" customFormat="1" ht="17.25" customHeight="1">
      <c r="B67" s="1052" t="s">
        <v>235</v>
      </c>
      <c r="C67" s="1050">
        <f>SUM(C68:C72)</f>
        <v>0</v>
      </c>
      <c r="D67" s="1050">
        <f>SUM(D68:D72)</f>
        <v>412984760</v>
      </c>
      <c r="E67" s="1050">
        <f>SUM(E68:E72)</f>
        <v>313437898</v>
      </c>
      <c r="F67" s="1050">
        <f>SUM(F68:F72)</f>
        <v>0</v>
      </c>
      <c r="G67" s="1050">
        <v>0</v>
      </c>
      <c r="H67" s="1050">
        <v>0</v>
      </c>
      <c r="I67" s="1053">
        <f>SUM(C67:H67)</f>
        <v>726422658</v>
      </c>
      <c r="J67" s="1054"/>
      <c r="K67" s="1054"/>
      <c r="L67" s="1055"/>
      <c r="M67" s="1055"/>
      <c r="N67" s="1056"/>
    </row>
    <row r="68" spans="2:14" ht="17.25" customHeight="1">
      <c r="B68" s="547" t="s">
        <v>560</v>
      </c>
      <c r="C68" s="548"/>
      <c r="D68" s="1060">
        <v>1417167</v>
      </c>
      <c r="E68" s="548"/>
      <c r="F68" s="548"/>
      <c r="G68" s="548"/>
      <c r="H68" s="548"/>
      <c r="I68" s="546"/>
      <c r="J68" s="549"/>
      <c r="K68" s="549"/>
      <c r="L68" s="550"/>
      <c r="M68" s="550"/>
      <c r="N68" s="551"/>
    </row>
    <row r="69" spans="2:14" ht="17.25" customHeight="1">
      <c r="B69" s="547" t="s">
        <v>561</v>
      </c>
      <c r="C69" s="548"/>
      <c r="D69" s="1048">
        <v>411567593</v>
      </c>
      <c r="E69" s="1048">
        <v>313437898</v>
      </c>
      <c r="F69" s="548"/>
      <c r="G69" s="548"/>
      <c r="H69" s="548"/>
      <c r="I69" s="546"/>
      <c r="J69" s="549"/>
      <c r="K69" s="549"/>
      <c r="L69" s="550"/>
      <c r="M69" s="550"/>
      <c r="N69" s="551"/>
    </row>
    <row r="70" spans="2:14" ht="17.25" customHeight="1">
      <c r="B70" s="547" t="s">
        <v>93</v>
      </c>
      <c r="C70" s="548"/>
      <c r="D70" s="548"/>
      <c r="E70" s="548"/>
      <c r="F70" s="548"/>
      <c r="G70" s="548"/>
      <c r="H70" s="548"/>
      <c r="I70" s="546"/>
      <c r="J70" s="549"/>
      <c r="K70" s="549"/>
      <c r="L70" s="550"/>
      <c r="M70" s="550"/>
      <c r="N70" s="551"/>
    </row>
    <row r="71" spans="2:14" ht="17.25" customHeight="1">
      <c r="B71" s="547" t="s">
        <v>562</v>
      </c>
      <c r="C71" s="548"/>
      <c r="D71" s="548"/>
      <c r="E71" s="548"/>
      <c r="F71" s="548"/>
      <c r="G71" s="548"/>
      <c r="H71" s="548"/>
      <c r="I71" s="546"/>
      <c r="J71" s="549"/>
      <c r="K71" s="549"/>
      <c r="L71" s="550"/>
      <c r="M71" s="550"/>
      <c r="N71" s="551"/>
    </row>
    <row r="72" spans="2:14" ht="17.25" customHeight="1">
      <c r="B72" s="547" t="s">
        <v>563</v>
      </c>
      <c r="C72" s="548"/>
      <c r="D72" s="548"/>
      <c r="E72" s="548"/>
      <c r="F72" s="548"/>
      <c r="G72" s="548"/>
      <c r="H72" s="548"/>
      <c r="I72" s="546"/>
      <c r="J72" s="549"/>
      <c r="K72" s="549"/>
      <c r="L72" s="550"/>
      <c r="M72" s="550"/>
      <c r="N72" s="551"/>
    </row>
    <row r="73" spans="2:14" s="541" customFormat="1" ht="22.5" customHeight="1">
      <c r="B73" s="545" t="s">
        <v>1682</v>
      </c>
      <c r="C73" s="546">
        <f t="shared" ref="C73:I73" si="5">C42+C43-C55-C61-C67+C49</f>
        <v>3849826827</v>
      </c>
      <c r="D73" s="546">
        <f t="shared" si="5"/>
        <v>3070502473</v>
      </c>
      <c r="E73" s="546">
        <f t="shared" si="5"/>
        <v>2345581289</v>
      </c>
      <c r="F73" s="546">
        <f t="shared" si="5"/>
        <v>214125624</v>
      </c>
      <c r="G73" s="546">
        <f t="shared" si="5"/>
        <v>0</v>
      </c>
      <c r="H73" s="546">
        <f t="shared" si="5"/>
        <v>0</v>
      </c>
      <c r="I73" s="546">
        <f t="shared" si="5"/>
        <v>9480036213</v>
      </c>
      <c r="J73" s="534">
        <f>I73+BS!L47</f>
        <v>-9983890922</v>
      </c>
      <c r="K73" s="534"/>
      <c r="L73" s="535"/>
      <c r="M73" s="535"/>
      <c r="N73" s="536"/>
    </row>
    <row r="74" spans="2:14" s="541" customFormat="1" ht="22.5" customHeight="1">
      <c r="B74" s="552" t="s">
        <v>236</v>
      </c>
      <c r="C74" s="553"/>
      <c r="D74" s="553"/>
      <c r="E74" s="553"/>
      <c r="F74" s="553"/>
      <c r="G74" s="553"/>
      <c r="H74" s="553"/>
      <c r="I74" s="554"/>
      <c r="J74" s="534"/>
      <c r="K74" s="534"/>
      <c r="L74" s="535"/>
      <c r="M74" s="535"/>
      <c r="N74" s="536"/>
    </row>
    <row r="75" spans="2:14" ht="17.25" customHeight="1">
      <c r="B75" s="547" t="s">
        <v>237</v>
      </c>
      <c r="C75" s="548">
        <f t="shared" ref="C75:I75" si="6">C8-C42</f>
        <v>1638088681</v>
      </c>
      <c r="D75" s="548">
        <f t="shared" si="6"/>
        <v>4527868833</v>
      </c>
      <c r="E75" s="548">
        <f t="shared" si="6"/>
        <v>3754169524</v>
      </c>
      <c r="F75" s="548">
        <f t="shared" si="6"/>
        <v>8500011</v>
      </c>
      <c r="G75" s="548">
        <f t="shared" si="6"/>
        <v>0</v>
      </c>
      <c r="H75" s="548">
        <f t="shared" si="6"/>
        <v>0</v>
      </c>
      <c r="I75" s="546">
        <f t="shared" si="6"/>
        <v>9928627049</v>
      </c>
      <c r="J75" s="549">
        <f>I75-BS!N45</f>
        <v>-48962714150</v>
      </c>
      <c r="K75" s="549"/>
      <c r="L75" s="550"/>
      <c r="M75" s="550"/>
      <c r="N75" s="551"/>
    </row>
    <row r="76" spans="2:14" ht="17.25" customHeight="1">
      <c r="B76" s="555" t="s">
        <v>1352</v>
      </c>
      <c r="C76" s="556">
        <f t="shared" ref="C76:I76" si="7">C40-C73</f>
        <v>1338174679</v>
      </c>
      <c r="D76" s="556">
        <f t="shared" si="7"/>
        <v>4367754859</v>
      </c>
      <c r="E76" s="556">
        <f t="shared" si="7"/>
        <v>3841985758</v>
      </c>
      <c r="F76" s="556">
        <f t="shared" si="7"/>
        <v>-36509155</v>
      </c>
      <c r="G76" s="556">
        <f t="shared" si="7"/>
        <v>0</v>
      </c>
      <c r="H76" s="556">
        <f t="shared" si="7"/>
        <v>0</v>
      </c>
      <c r="I76" s="557">
        <f t="shared" si="7"/>
        <v>9511406141</v>
      </c>
      <c r="J76" s="549">
        <f>I76-BS!L45</f>
        <v>-45180027663</v>
      </c>
      <c r="K76" s="549"/>
      <c r="L76" s="550"/>
      <c r="M76" s="550"/>
      <c r="N76" s="551"/>
    </row>
    <row r="77" spans="2:14" ht="18" hidden="1" customHeight="1">
      <c r="B77" s="537"/>
      <c r="H77" s="534"/>
      <c r="I77" s="534"/>
      <c r="J77" s="534"/>
      <c r="K77" s="534"/>
      <c r="L77" s="535"/>
      <c r="M77" s="535"/>
    </row>
    <row r="78" spans="2:14" ht="18" hidden="1" customHeight="1">
      <c r="B78" s="537" t="s">
        <v>1346</v>
      </c>
      <c r="H78" s="534"/>
      <c r="I78" s="534"/>
      <c r="J78" s="534"/>
      <c r="K78" s="534"/>
      <c r="L78" s="535"/>
      <c r="M78" s="535"/>
    </row>
    <row r="79" spans="2:14" s="149" customFormat="1" ht="33.75" hidden="1" customHeight="1">
      <c r="B79" s="538" t="s">
        <v>1681</v>
      </c>
      <c r="C79" s="539" t="s">
        <v>1686</v>
      </c>
      <c r="D79" s="539" t="s">
        <v>1687</v>
      </c>
      <c r="E79" s="539" t="s">
        <v>1688</v>
      </c>
      <c r="F79" s="539" t="s">
        <v>1689</v>
      </c>
      <c r="G79" s="539" t="s">
        <v>1391</v>
      </c>
      <c r="H79" s="539" t="s">
        <v>1690</v>
      </c>
      <c r="I79" s="539" t="s">
        <v>1685</v>
      </c>
      <c r="J79" s="540" t="s">
        <v>246</v>
      </c>
      <c r="K79" s="540"/>
      <c r="L79" s="525"/>
      <c r="M79" s="525"/>
      <c r="N79" s="518"/>
    </row>
    <row r="80" spans="2:14" s="541" customFormat="1" ht="22.5" hidden="1" customHeight="1">
      <c r="B80" s="542" t="s">
        <v>230</v>
      </c>
      <c r="C80" s="543"/>
      <c r="D80" s="543"/>
      <c r="E80" s="543"/>
      <c r="F80" s="543"/>
      <c r="G80" s="543"/>
      <c r="H80" s="543"/>
      <c r="I80" s="544"/>
      <c r="J80" s="534"/>
      <c r="K80" s="534"/>
      <c r="L80" s="535"/>
      <c r="M80" s="535"/>
      <c r="N80" s="536"/>
    </row>
    <row r="81" spans="2:14" s="541" customFormat="1" ht="22.5" hidden="1" customHeight="1">
      <c r="B81" s="545" t="s">
        <v>1684</v>
      </c>
      <c r="C81" s="546">
        <v>0</v>
      </c>
      <c r="D81" s="546">
        <v>0</v>
      </c>
      <c r="E81" s="546">
        <v>0</v>
      </c>
      <c r="F81" s="546">
        <v>0</v>
      </c>
      <c r="G81" s="546"/>
      <c r="H81" s="546">
        <v>0</v>
      </c>
      <c r="I81" s="546">
        <f t="shared" ref="I81:I86" si="8">SUM(C81:H81)</f>
        <v>0</v>
      </c>
      <c r="J81" s="534">
        <f>I81-BS!N69</f>
        <v>0</v>
      </c>
      <c r="K81" s="534"/>
      <c r="L81" s="535"/>
      <c r="M81" s="535"/>
      <c r="N81" s="536"/>
    </row>
    <row r="82" spans="2:14" ht="17.25" hidden="1" customHeight="1">
      <c r="B82" s="547" t="s">
        <v>1347</v>
      </c>
      <c r="C82" s="548"/>
      <c r="D82" s="548"/>
      <c r="E82" s="548"/>
      <c r="F82" s="548"/>
      <c r="G82" s="548"/>
      <c r="H82" s="548"/>
      <c r="I82" s="546">
        <f t="shared" si="8"/>
        <v>0</v>
      </c>
      <c r="J82" s="549"/>
      <c r="K82" s="549"/>
      <c r="L82" s="550"/>
      <c r="M82" s="550"/>
      <c r="N82" s="551"/>
    </row>
    <row r="83" spans="2:14" ht="17.25" hidden="1" customHeight="1">
      <c r="B83" s="547" t="s">
        <v>1348</v>
      </c>
      <c r="C83" s="548"/>
      <c r="D83" s="548"/>
      <c r="E83" s="548"/>
      <c r="F83" s="548"/>
      <c r="G83" s="548"/>
      <c r="H83" s="548"/>
      <c r="I83" s="546">
        <f t="shared" si="8"/>
        <v>0</v>
      </c>
      <c r="J83" s="549"/>
      <c r="K83" s="549"/>
      <c r="L83" s="550"/>
      <c r="M83" s="550"/>
      <c r="N83" s="551"/>
    </row>
    <row r="84" spans="2:14" ht="17.25" hidden="1" customHeight="1">
      <c r="B84" s="547" t="s">
        <v>232</v>
      </c>
      <c r="C84" s="548"/>
      <c r="D84" s="548"/>
      <c r="E84" s="548"/>
      <c r="F84" s="548"/>
      <c r="G84" s="548"/>
      <c r="H84" s="548"/>
      <c r="I84" s="546">
        <f t="shared" si="8"/>
        <v>0</v>
      </c>
      <c r="J84" s="549"/>
      <c r="K84" s="549"/>
      <c r="L84" s="550"/>
      <c r="M84" s="550"/>
      <c r="N84" s="551"/>
    </row>
    <row r="85" spans="2:14" ht="17.25" hidden="1" customHeight="1">
      <c r="B85" s="547" t="s">
        <v>1349</v>
      </c>
      <c r="C85" s="548"/>
      <c r="D85" s="548"/>
      <c r="E85" s="548"/>
      <c r="F85" s="548"/>
      <c r="G85" s="548"/>
      <c r="H85" s="548"/>
      <c r="I85" s="546">
        <f t="shared" si="8"/>
        <v>0</v>
      </c>
      <c r="J85" s="549"/>
      <c r="K85" s="549"/>
      <c r="L85" s="550"/>
      <c r="M85" s="550"/>
      <c r="N85" s="551"/>
    </row>
    <row r="86" spans="2:14" ht="17.25" hidden="1" customHeight="1">
      <c r="B86" s="547" t="s">
        <v>235</v>
      </c>
      <c r="C86" s="548"/>
      <c r="D86" s="548"/>
      <c r="E86" s="548"/>
      <c r="F86" s="548"/>
      <c r="G86" s="548"/>
      <c r="H86" s="548"/>
      <c r="I86" s="546">
        <f t="shared" si="8"/>
        <v>0</v>
      </c>
      <c r="J86" s="549"/>
      <c r="K86" s="549"/>
      <c r="L86" s="550"/>
      <c r="M86" s="550"/>
      <c r="N86" s="551"/>
    </row>
    <row r="87" spans="2:14" s="541" customFormat="1" ht="22.5" hidden="1" customHeight="1">
      <c r="B87" s="545" t="s">
        <v>1682</v>
      </c>
      <c r="C87" s="546">
        <f t="shared" ref="C87:I87" si="9">C81+C82+C83+C84-C85-C86</f>
        <v>0</v>
      </c>
      <c r="D87" s="546">
        <f t="shared" si="9"/>
        <v>0</v>
      </c>
      <c r="E87" s="546">
        <f t="shared" si="9"/>
        <v>0</v>
      </c>
      <c r="F87" s="546">
        <f t="shared" si="9"/>
        <v>0</v>
      </c>
      <c r="G87" s="546">
        <f t="shared" si="9"/>
        <v>0</v>
      </c>
      <c r="H87" s="546">
        <f t="shared" si="9"/>
        <v>0</v>
      </c>
      <c r="I87" s="546">
        <f t="shared" si="9"/>
        <v>0</v>
      </c>
      <c r="J87" s="534">
        <f>I87-BS!L69</f>
        <v>0</v>
      </c>
      <c r="K87" s="534"/>
      <c r="L87" s="535"/>
      <c r="M87" s="535"/>
      <c r="N87" s="536"/>
    </row>
    <row r="88" spans="2:14" s="541" customFormat="1" ht="22.5" hidden="1" customHeight="1">
      <c r="B88" s="552" t="s">
        <v>1683</v>
      </c>
      <c r="C88" s="553"/>
      <c r="D88" s="553"/>
      <c r="E88" s="553"/>
      <c r="F88" s="553"/>
      <c r="G88" s="553"/>
      <c r="H88" s="553"/>
      <c r="I88" s="554"/>
      <c r="J88" s="534"/>
      <c r="K88" s="534"/>
      <c r="L88" s="535"/>
      <c r="M88" s="535"/>
      <c r="N88" s="536"/>
    </row>
    <row r="89" spans="2:14" s="541" customFormat="1" ht="22.5" hidden="1" customHeight="1">
      <c r="B89" s="545" t="s">
        <v>1684</v>
      </c>
      <c r="C89" s="548">
        <v>0</v>
      </c>
      <c r="D89" s="546">
        <v>0</v>
      </c>
      <c r="E89" s="546">
        <v>0</v>
      </c>
      <c r="F89" s="546">
        <v>0</v>
      </c>
      <c r="G89" s="546"/>
      <c r="H89" s="546">
        <v>0</v>
      </c>
      <c r="I89" s="546">
        <f t="shared" ref="I89:I94" si="10">SUM(C89:H89)</f>
        <v>0</v>
      </c>
      <c r="J89" s="534" t="e">
        <f>I89+BS!#REF!</f>
        <v>#REF!</v>
      </c>
      <c r="K89" s="534"/>
      <c r="L89" s="535"/>
      <c r="M89" s="535"/>
      <c r="N89" s="536"/>
    </row>
    <row r="90" spans="2:14" ht="17.25" hidden="1" customHeight="1">
      <c r="B90" s="547" t="s">
        <v>251</v>
      </c>
      <c r="C90" s="548"/>
      <c r="D90" s="548"/>
      <c r="E90" s="548"/>
      <c r="F90" s="548"/>
      <c r="G90" s="548"/>
      <c r="H90" s="548"/>
      <c r="I90" s="546">
        <f t="shared" si="10"/>
        <v>0</v>
      </c>
      <c r="J90" s="549"/>
      <c r="K90" s="549"/>
      <c r="L90" s="550"/>
      <c r="M90" s="550"/>
      <c r="N90" s="551"/>
    </row>
    <row r="91" spans="2:14" ht="17.25" hidden="1" customHeight="1">
      <c r="B91" s="547" t="s">
        <v>1348</v>
      </c>
      <c r="C91" s="548"/>
      <c r="D91" s="548"/>
      <c r="E91" s="548"/>
      <c r="F91" s="548"/>
      <c r="G91" s="548"/>
      <c r="H91" s="548"/>
      <c r="I91" s="546">
        <f t="shared" si="10"/>
        <v>0</v>
      </c>
      <c r="J91" s="549"/>
      <c r="K91" s="549"/>
      <c r="L91" s="550"/>
      <c r="M91" s="550"/>
      <c r="N91" s="551"/>
    </row>
    <row r="92" spans="2:14" ht="17.25" hidden="1" customHeight="1">
      <c r="B92" s="547" t="s">
        <v>232</v>
      </c>
      <c r="C92" s="548"/>
      <c r="D92" s="548"/>
      <c r="E92" s="548"/>
      <c r="F92" s="548"/>
      <c r="G92" s="548"/>
      <c r="H92" s="548"/>
      <c r="I92" s="546">
        <f t="shared" si="10"/>
        <v>0</v>
      </c>
      <c r="J92" s="549"/>
      <c r="K92" s="549"/>
      <c r="L92" s="550"/>
      <c r="M92" s="550"/>
      <c r="N92" s="551"/>
    </row>
    <row r="93" spans="2:14" ht="17.25" hidden="1" customHeight="1">
      <c r="B93" s="547" t="s">
        <v>1349</v>
      </c>
      <c r="C93" s="548"/>
      <c r="D93" s="548"/>
      <c r="E93" s="548"/>
      <c r="F93" s="548"/>
      <c r="G93" s="548"/>
      <c r="H93" s="548"/>
      <c r="I93" s="546">
        <f t="shared" si="10"/>
        <v>0</v>
      </c>
      <c r="J93" s="549"/>
      <c r="K93" s="549"/>
      <c r="L93" s="550"/>
      <c r="M93" s="550"/>
      <c r="N93" s="551"/>
    </row>
    <row r="94" spans="2:14" ht="17.25" hidden="1" customHeight="1">
      <c r="B94" s="547" t="s">
        <v>235</v>
      </c>
      <c r="C94" s="548"/>
      <c r="D94" s="548"/>
      <c r="E94" s="548"/>
      <c r="F94" s="548"/>
      <c r="G94" s="548"/>
      <c r="H94" s="548"/>
      <c r="I94" s="546">
        <f t="shared" si="10"/>
        <v>0</v>
      </c>
      <c r="J94" s="549"/>
      <c r="K94" s="549"/>
      <c r="L94" s="550"/>
      <c r="M94" s="550"/>
      <c r="N94" s="551"/>
    </row>
    <row r="95" spans="2:14" s="541" customFormat="1" ht="22.5" hidden="1" customHeight="1">
      <c r="B95" s="545" t="s">
        <v>1353</v>
      </c>
      <c r="C95" s="546">
        <f t="shared" ref="C95:I95" si="11">C89+C90-C92-C93-C94+C91</f>
        <v>0</v>
      </c>
      <c r="D95" s="546">
        <f t="shared" si="11"/>
        <v>0</v>
      </c>
      <c r="E95" s="546">
        <f t="shared" si="11"/>
        <v>0</v>
      </c>
      <c r="F95" s="546">
        <f t="shared" si="11"/>
        <v>0</v>
      </c>
      <c r="G95" s="546">
        <f t="shared" si="11"/>
        <v>0</v>
      </c>
      <c r="H95" s="546">
        <f t="shared" si="11"/>
        <v>0</v>
      </c>
      <c r="I95" s="546">
        <f t="shared" si="11"/>
        <v>0</v>
      </c>
      <c r="J95" s="534" t="e">
        <f>I95+BS!#REF!</f>
        <v>#REF!</v>
      </c>
      <c r="K95" s="534"/>
      <c r="L95" s="535"/>
      <c r="M95" s="535"/>
      <c r="N95" s="536"/>
    </row>
    <row r="96" spans="2:14" s="541" customFormat="1" ht="22.5" hidden="1" customHeight="1">
      <c r="B96" s="552" t="s">
        <v>236</v>
      </c>
      <c r="C96" s="553"/>
      <c r="D96" s="553"/>
      <c r="E96" s="553"/>
      <c r="F96" s="553"/>
      <c r="G96" s="553"/>
      <c r="H96" s="553"/>
      <c r="I96" s="554"/>
      <c r="J96" s="534"/>
      <c r="K96" s="534"/>
      <c r="L96" s="535"/>
      <c r="M96" s="535"/>
      <c r="N96" s="536"/>
    </row>
    <row r="97" spans="2:14" ht="17.25" hidden="1" customHeight="1">
      <c r="B97" s="547" t="s">
        <v>237</v>
      </c>
      <c r="C97" s="548">
        <f t="shared" ref="C97:I97" si="12">C81-C89</f>
        <v>0</v>
      </c>
      <c r="D97" s="548">
        <f t="shared" si="12"/>
        <v>0</v>
      </c>
      <c r="E97" s="548">
        <f t="shared" si="12"/>
        <v>0</v>
      </c>
      <c r="F97" s="548">
        <f t="shared" si="12"/>
        <v>0</v>
      </c>
      <c r="G97" s="548">
        <f t="shared" si="12"/>
        <v>0</v>
      </c>
      <c r="H97" s="548">
        <f t="shared" si="12"/>
        <v>0</v>
      </c>
      <c r="I97" s="546">
        <f t="shared" si="12"/>
        <v>0</v>
      </c>
      <c r="J97" s="549">
        <f>I97-BS!N68</f>
        <v>0</v>
      </c>
      <c r="K97" s="549"/>
      <c r="L97" s="550"/>
      <c r="M97" s="550"/>
      <c r="N97" s="551"/>
    </row>
    <row r="98" spans="2:14" ht="17.25" hidden="1" customHeight="1">
      <c r="B98" s="555" t="s">
        <v>1352</v>
      </c>
      <c r="C98" s="556">
        <f t="shared" ref="C98:I98" si="13">C87-C95</f>
        <v>0</v>
      </c>
      <c r="D98" s="556">
        <f t="shared" si="13"/>
        <v>0</v>
      </c>
      <c r="E98" s="556">
        <f t="shared" si="13"/>
        <v>0</v>
      </c>
      <c r="F98" s="556">
        <f t="shared" si="13"/>
        <v>0</v>
      </c>
      <c r="G98" s="556">
        <f t="shared" si="13"/>
        <v>0</v>
      </c>
      <c r="H98" s="556">
        <f t="shared" si="13"/>
        <v>0</v>
      </c>
      <c r="I98" s="557">
        <f t="shared" si="13"/>
        <v>0</v>
      </c>
      <c r="J98" s="549">
        <f ca="1">I98-BS!L68</f>
        <v>0</v>
      </c>
      <c r="K98" s="549"/>
      <c r="L98" s="550"/>
      <c r="M98" s="550"/>
      <c r="N98" s="551"/>
    </row>
  </sheetData>
  <autoFilter ref="A6:R76"/>
  <phoneticPr fontId="36" type="noConversion"/>
  <pageMargins left="0.34" right="0.2" top="0.79" bottom="0.75" header="0.28999999999999998" footer="0.34"/>
  <pageSetup paperSize="9" firstPageNumber="19" orientation="landscape" useFirstPageNumber="1" horizontalDpi="300" verticalDpi="300" r:id="rId1"/>
  <headerFooter alignWithMargins="0">
    <oddFooter>&amp;C(&amp;".VnTime,  Italic"&amp;11C¸c thuyÕt minh nµy lµ bé phËn hîp thµnh B¸o c¸o tµi chÝnh)&amp;".VnTime,Regular"&amp;12
&amp;P</oddFooter>
  </headerFooter>
</worksheet>
</file>

<file path=xl/worksheets/sheet30.xml><?xml version="1.0" encoding="utf-8"?>
<worksheet xmlns="http://schemas.openxmlformats.org/spreadsheetml/2006/main" xmlns:r="http://schemas.openxmlformats.org/officeDocument/2006/relationships">
  <dimension ref="A1"/>
  <sheetViews>
    <sheetView showGridLines="0" showRowColHeaders="0" showZeros="0" showOutlineSymbols="0" topLeftCell="B20" zoomScaleNormal="32" zoomScaleSheetLayoutView="6" workbookViewId="0"/>
  </sheetViews>
  <sheetFormatPr defaultRowHeight="15"/>
  <sheetData/>
  <phoneticPr fontId="180" type="noConversion"/>
  <pageMargins left="0.75" right="0.75" top="1" bottom="1" header="0.5" footer="0.5"/>
  <headerFooter alignWithMargins="0"/>
</worksheet>
</file>

<file path=xl/worksheets/sheet31.xml><?xml version="1.0" encoding="utf-8"?>
<worksheet xmlns="http://schemas.openxmlformats.org/spreadsheetml/2006/main" xmlns:r="http://schemas.openxmlformats.org/officeDocument/2006/relationships">
  <dimension ref="A1"/>
  <sheetViews>
    <sheetView showGridLines="0" showRowColHeaders="0" showZeros="0" showOutlineSymbols="0" topLeftCell="B20" zoomScaleNormal="32" zoomScaleSheetLayoutView="6" workbookViewId="0"/>
  </sheetViews>
  <sheetFormatPr defaultRowHeight="15"/>
  <sheetData/>
  <phoneticPr fontId="180"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dimension ref="A1"/>
  <sheetViews>
    <sheetView showGridLines="0" showRowColHeaders="0" showZeros="0" showOutlineSymbols="0" topLeftCell="B20" zoomScaleNormal="32" zoomScaleSheetLayoutView="6" workbookViewId="0"/>
  </sheetViews>
  <sheetFormatPr defaultRowHeight="15"/>
  <sheetData/>
  <phoneticPr fontId="180" type="noConversion"/>
  <pageMargins left="0.75" right="0.75" top="1" bottom="1" header="0.5" footer="0.5"/>
  <headerFooter alignWithMargins="0"/>
</worksheet>
</file>

<file path=xl/worksheets/sheet33.xml><?xml version="1.0" encoding="utf-8"?>
<worksheet xmlns="http://schemas.openxmlformats.org/spreadsheetml/2006/main" xmlns:r="http://schemas.openxmlformats.org/officeDocument/2006/relationships">
  <dimension ref="A1"/>
  <sheetViews>
    <sheetView showGridLines="0" showRowColHeaders="0" showZeros="0" showOutlineSymbols="0" topLeftCell="B20" zoomScaleNormal="32" zoomScaleSheetLayoutView="6" workbookViewId="0"/>
  </sheetViews>
  <sheetFormatPr defaultRowHeight="15"/>
  <sheetData/>
  <phoneticPr fontId="180" type="noConversion"/>
  <pageMargins left="0.75" right="0.75" top="1" bottom="1" header="0.5" footer="0.5"/>
  <headerFooter alignWithMargins="0"/>
</worksheet>
</file>

<file path=xl/worksheets/sheet34.xml><?xml version="1.0" encoding="utf-8"?>
<worksheet xmlns="http://schemas.openxmlformats.org/spreadsheetml/2006/main" xmlns:r="http://schemas.openxmlformats.org/officeDocument/2006/relationships">
  <dimension ref="A1"/>
  <sheetViews>
    <sheetView showGridLines="0" showRowColHeaders="0" showZeros="0" showOutlineSymbols="0" topLeftCell="B20" zoomScaleNormal="32" zoomScaleSheetLayoutView="6" workbookViewId="0"/>
  </sheetViews>
  <sheetFormatPr defaultRowHeight="15"/>
  <sheetData/>
  <phoneticPr fontId="180" type="noConversion"/>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dimension ref="A1"/>
  <sheetViews>
    <sheetView showGridLines="0" showRowColHeaders="0" showZeros="0" showOutlineSymbols="0" topLeftCell="B20" zoomScaleNormal="32" zoomScaleSheetLayoutView="6" workbookViewId="0"/>
  </sheetViews>
  <sheetFormatPr defaultRowHeight="15"/>
  <sheetData/>
  <phoneticPr fontId="180" type="noConversion"/>
  <pageMargins left="0.75" right="0.75" top="1" bottom="1" header="0.5" footer="0.5"/>
  <headerFooter alignWithMargins="0"/>
</worksheet>
</file>

<file path=xl/worksheets/sheet36.xml><?xml version="1.0" encoding="utf-8"?>
<worksheet xmlns="http://schemas.openxmlformats.org/spreadsheetml/2006/main" xmlns:r="http://schemas.openxmlformats.org/officeDocument/2006/relationships">
  <dimension ref="A1"/>
  <sheetViews>
    <sheetView showGridLines="0" showRowColHeaders="0" showZeros="0" showOutlineSymbols="0" topLeftCell="B20" zoomScaleNormal="32" zoomScaleSheetLayoutView="6" workbookViewId="0"/>
  </sheetViews>
  <sheetFormatPr defaultRowHeight="15"/>
  <sheetData/>
  <phoneticPr fontId="180" type="noConversion"/>
  <pageMargins left="0.75" right="0.75" top="1" bottom="1" header="0.5" footer="0.5"/>
  <headerFooter alignWithMargins="0"/>
</worksheet>
</file>

<file path=xl/worksheets/sheet37.xml><?xml version="1.0" encoding="utf-8"?>
<worksheet xmlns="http://schemas.openxmlformats.org/spreadsheetml/2006/main" xmlns:r="http://schemas.openxmlformats.org/officeDocument/2006/relationships">
  <dimension ref="A1"/>
  <sheetViews>
    <sheetView showGridLines="0" showRowColHeaders="0" showZeros="0" showOutlineSymbols="0" topLeftCell="B20" zoomScaleNormal="32" zoomScaleSheetLayoutView="6" workbookViewId="0"/>
  </sheetViews>
  <sheetFormatPr defaultRowHeight="15"/>
  <sheetData/>
  <phoneticPr fontId="180" type="noConversion"/>
  <pageMargins left="0.75" right="0.75" top="1" bottom="1" header="0.5" footer="0.5"/>
  <headerFooter alignWithMargins="0"/>
</worksheet>
</file>

<file path=xl/worksheets/sheet38.xml><?xml version="1.0" encoding="utf-8"?>
<worksheet xmlns="http://schemas.openxmlformats.org/spreadsheetml/2006/main" xmlns:r="http://schemas.openxmlformats.org/officeDocument/2006/relationships">
  <sheetPr codeName="Sheet8" enableFormatConditionsCalculation="0">
    <tabColor indexed="33"/>
  </sheetPr>
  <dimension ref="A1:K75"/>
  <sheetViews>
    <sheetView showGridLines="0" view="pageBreakPreview" topLeftCell="A31" zoomScaleSheetLayoutView="100" workbookViewId="0">
      <selection activeCell="A53" sqref="A53"/>
    </sheetView>
  </sheetViews>
  <sheetFormatPr defaultRowHeight="14.25"/>
  <cols>
    <col min="1" max="3" width="9" style="710"/>
    <col min="4" max="4" width="8.75" style="710" customWidth="1"/>
    <col min="5" max="8" width="9" style="710"/>
    <col min="9" max="9" width="10" style="710" customWidth="1"/>
    <col min="10" max="16384" width="9" style="710"/>
  </cols>
  <sheetData>
    <row r="1" spans="1:9" s="716" customFormat="1" ht="24.75" customHeight="1">
      <c r="A1" s="1598" t="str">
        <f>'Ten '!A10</f>
        <v>C«ng ty Cæ phÇn §Çu t­ &amp; Th­¬ng m¹i DÇu KhÝ S«ng §µ</v>
      </c>
      <c r="B1" s="1598"/>
      <c r="C1" s="1598"/>
      <c r="D1" s="1598"/>
      <c r="E1" s="1598"/>
      <c r="F1" s="1598"/>
      <c r="G1" s="1598"/>
      <c r="H1" s="1598"/>
      <c r="I1" s="1598"/>
    </row>
    <row r="2" spans="1:9" s="1120" customFormat="1" ht="18" customHeight="1">
      <c r="A2" s="1599" t="str">
        <f>'Ten '!A11&amp;", ph­êng Mç Lao, quËn Hµ §«ng, Hµ Néi."</f>
        <v>§Þa chØ: TÇng 4, CT3, tßa nhµ Fodacon, ®­êng TrÇn Phó, ph­êng Mç Lao, quËn Hµ §«ng, Hµ Néi.</v>
      </c>
      <c r="B2" s="1599"/>
      <c r="C2" s="1599"/>
      <c r="D2" s="1599"/>
      <c r="E2" s="1599"/>
      <c r="F2" s="1599"/>
      <c r="G2" s="1599"/>
      <c r="H2" s="1599"/>
      <c r="I2" s="1599"/>
    </row>
    <row r="3" spans="1:9" s="1121" customFormat="1">
      <c r="A3" s="1600"/>
      <c r="B3" s="1601"/>
      <c r="C3" s="1601"/>
      <c r="D3" s="1601"/>
      <c r="E3" s="1601"/>
      <c r="F3" s="1601"/>
      <c r="G3" s="1601"/>
      <c r="H3" s="1601"/>
      <c r="I3" s="1601"/>
    </row>
    <row r="4" spans="1:9" s="1121" customFormat="1"/>
    <row r="5" spans="1:9" s="1121" customFormat="1"/>
    <row r="6" spans="1:9" ht="15">
      <c r="B6" s="1364"/>
    </row>
    <row r="7" spans="1:9" ht="16.5">
      <c r="B7" s="711"/>
      <c r="D7" s="712"/>
    </row>
    <row r="12" spans="1:9" ht="15">
      <c r="B12" s="1364"/>
    </row>
    <row r="13" spans="1:9" ht="15">
      <c r="B13" s="1371"/>
    </row>
    <row r="23" spans="2:9" ht="24.75" customHeight="1">
      <c r="B23" s="1604" t="s">
        <v>1247</v>
      </c>
      <c r="C23" s="1604"/>
      <c r="D23" s="1604"/>
      <c r="E23" s="1604"/>
      <c r="F23" s="1604"/>
      <c r="G23" s="1604"/>
      <c r="H23" s="1604"/>
      <c r="I23" s="1604"/>
    </row>
    <row r="24" spans="2:9" ht="21" customHeight="1">
      <c r="B24" s="1602" t="s">
        <v>654</v>
      </c>
      <c r="C24" s="1602"/>
      <c r="D24" s="1602"/>
      <c r="E24" s="1602"/>
      <c r="F24" s="1602"/>
      <c r="G24" s="1602"/>
      <c r="H24" s="1602"/>
      <c r="I24" s="1602"/>
    </row>
    <row r="25" spans="2:9" ht="21" customHeight="1">
      <c r="C25" s="1603" t="s">
        <v>281</v>
      </c>
      <c r="D25" s="1603"/>
      <c r="E25" s="1603"/>
      <c r="F25" s="1603"/>
      <c r="G25" s="1603"/>
      <c r="H25" s="1603"/>
      <c r="I25" s="1603"/>
    </row>
    <row r="26" spans="2:9" ht="21" customHeight="1">
      <c r="B26" s="1585" t="s">
        <v>282</v>
      </c>
      <c r="C26" s="1585"/>
      <c r="D26" s="1585"/>
      <c r="E26" s="1585"/>
      <c r="F26" s="1585"/>
      <c r="G26" s="1585"/>
      <c r="H26" s="1585"/>
      <c r="I26" s="1585"/>
    </row>
    <row r="27" spans="2:9" ht="18">
      <c r="B27" s="1602" t="s">
        <v>117</v>
      </c>
      <c r="C27" s="1602"/>
      <c r="D27" s="1602"/>
      <c r="E27" s="1602"/>
      <c r="F27" s="1602"/>
      <c r="G27" s="1602"/>
      <c r="H27" s="1602"/>
      <c r="I27" s="1602"/>
    </row>
    <row r="28" spans="2:9" ht="20.25">
      <c r="C28" s="1585"/>
      <c r="D28" s="1585"/>
      <c r="E28" s="1585"/>
      <c r="F28" s="1585"/>
      <c r="G28" s="1585"/>
      <c r="H28" s="1585"/>
    </row>
    <row r="42" spans="1:9" ht="11.25" customHeight="1"/>
    <row r="45" spans="1:9">
      <c r="A45" s="713"/>
      <c r="B45" s="713"/>
      <c r="C45" s="713"/>
      <c r="D45" s="713"/>
      <c r="E45" s="713"/>
      <c r="F45" s="713"/>
      <c r="G45" s="713"/>
      <c r="H45" s="713"/>
      <c r="I45" s="713"/>
    </row>
    <row r="46" spans="1:9" ht="15">
      <c r="A46" s="714" t="s">
        <v>349</v>
      </c>
    </row>
    <row r="47" spans="1:9" ht="3.75" customHeight="1"/>
    <row r="48" spans="1:9" ht="20.25">
      <c r="A48" s="1585" t="s">
        <v>117</v>
      </c>
      <c r="B48" s="1585"/>
      <c r="C48" s="1585"/>
      <c r="D48" s="1585"/>
      <c r="E48" s="1585"/>
      <c r="F48" s="1585"/>
      <c r="G48" s="1585"/>
      <c r="H48" s="1585"/>
      <c r="I48" s="1585"/>
    </row>
    <row r="49" spans="1:11" ht="15">
      <c r="A49" s="1599" t="s">
        <v>118</v>
      </c>
      <c r="B49" s="1599"/>
      <c r="C49" s="1599"/>
      <c r="D49" s="1599"/>
      <c r="E49" s="1599"/>
      <c r="F49" s="1599"/>
      <c r="G49" s="1599"/>
      <c r="H49" s="1599"/>
      <c r="I49" s="1599"/>
    </row>
    <row r="50" spans="1:11" ht="15">
      <c r="A50" s="1599" t="s">
        <v>119</v>
      </c>
      <c r="B50" s="1599"/>
      <c r="C50" s="1599"/>
      <c r="D50" s="1599"/>
      <c r="E50" s="1599"/>
      <c r="F50" s="1599"/>
      <c r="G50" s="1599"/>
      <c r="H50" s="1599"/>
      <c r="I50" s="1599"/>
    </row>
    <row r="51" spans="1:11" ht="7.5" customHeight="1"/>
    <row r="52" spans="1:11" ht="15">
      <c r="A52" s="1605" t="s">
        <v>1046</v>
      </c>
      <c r="B52" s="1605"/>
      <c r="C52" s="1605"/>
      <c r="D52" s="1605"/>
      <c r="E52" s="1605"/>
      <c r="F52" s="1605"/>
      <c r="G52" s="1605"/>
      <c r="H52" s="1605"/>
      <c r="I52" s="1605"/>
    </row>
    <row r="53" spans="1:11">
      <c r="A53" s="715"/>
      <c r="B53" s="715"/>
      <c r="C53" s="715"/>
      <c r="D53" s="715"/>
      <c r="E53" s="715"/>
      <c r="F53" s="715"/>
      <c r="G53" s="715"/>
      <c r="H53" s="715"/>
      <c r="I53" s="715"/>
      <c r="J53" s="715"/>
      <c r="K53" s="715"/>
    </row>
    <row r="54" spans="1:11">
      <c r="A54" s="715"/>
      <c r="B54" s="715"/>
      <c r="C54" s="715"/>
      <c r="D54" s="715"/>
      <c r="E54" s="715"/>
      <c r="F54" s="715"/>
      <c r="G54" s="715"/>
      <c r="H54" s="715"/>
      <c r="I54" s="715"/>
      <c r="J54" s="715"/>
      <c r="K54" s="715"/>
    </row>
    <row r="55" spans="1:11">
      <c r="A55" s="715"/>
      <c r="B55" s="715"/>
      <c r="C55" s="715"/>
      <c r="D55" s="715"/>
      <c r="E55" s="715"/>
      <c r="F55" s="715"/>
      <c r="G55" s="715"/>
      <c r="H55" s="715"/>
      <c r="I55" s="715"/>
      <c r="J55" s="715"/>
      <c r="K55" s="715"/>
    </row>
    <row r="56" spans="1:11">
      <c r="A56" s="715"/>
      <c r="B56" s="715"/>
      <c r="C56" s="715"/>
      <c r="D56" s="715"/>
      <c r="E56" s="715"/>
      <c r="F56" s="715"/>
      <c r="G56" s="715"/>
      <c r="H56" s="715"/>
      <c r="I56" s="715"/>
      <c r="J56" s="715"/>
      <c r="K56" s="715"/>
    </row>
    <row r="57" spans="1:11">
      <c r="A57" s="715"/>
      <c r="B57" s="715"/>
      <c r="C57" s="715"/>
      <c r="D57" s="715"/>
      <c r="E57" s="715"/>
      <c r="F57" s="715"/>
      <c r="G57" s="715"/>
      <c r="H57" s="715"/>
      <c r="I57" s="715"/>
      <c r="J57" s="715"/>
      <c r="K57" s="715"/>
    </row>
    <row r="58" spans="1:11">
      <c r="A58" s="715"/>
      <c r="B58" s="715"/>
      <c r="C58" s="715"/>
      <c r="D58" s="715"/>
      <c r="E58" s="715"/>
      <c r="F58" s="715"/>
      <c r="G58" s="715"/>
      <c r="H58" s="715"/>
      <c r="I58" s="715"/>
      <c r="J58" s="715"/>
      <c r="K58" s="715"/>
    </row>
    <row r="59" spans="1:11">
      <c r="A59" s="715"/>
      <c r="B59" s="715"/>
      <c r="C59" s="715"/>
      <c r="D59" s="715"/>
      <c r="E59" s="715"/>
      <c r="F59" s="715"/>
      <c r="G59" s="715"/>
      <c r="H59" s="715"/>
      <c r="I59" s="715"/>
      <c r="J59" s="715"/>
      <c r="K59" s="715"/>
    </row>
    <row r="60" spans="1:11">
      <c r="A60" s="715"/>
      <c r="B60" s="715"/>
      <c r="C60" s="715"/>
      <c r="D60" s="715"/>
      <c r="E60" s="715"/>
      <c r="F60" s="715"/>
      <c r="G60" s="715"/>
      <c r="H60" s="715"/>
      <c r="I60" s="715"/>
      <c r="J60" s="715"/>
      <c r="K60" s="715"/>
    </row>
    <row r="61" spans="1:11">
      <c r="A61" s="715"/>
      <c r="B61" s="715"/>
      <c r="C61" s="715"/>
      <c r="D61" s="715"/>
      <c r="E61" s="715"/>
      <c r="F61" s="715"/>
      <c r="G61" s="715"/>
      <c r="H61" s="715"/>
      <c r="I61" s="715"/>
      <c r="J61" s="715"/>
      <c r="K61" s="715"/>
    </row>
    <row r="62" spans="1:11">
      <c r="A62" s="715"/>
      <c r="B62" s="715"/>
      <c r="C62" s="715"/>
      <c r="D62" s="715"/>
      <c r="E62" s="715"/>
      <c r="F62" s="715"/>
      <c r="G62" s="715"/>
      <c r="H62" s="715"/>
      <c r="I62" s="715"/>
      <c r="J62" s="715"/>
      <c r="K62" s="715"/>
    </row>
    <row r="63" spans="1:11">
      <c r="A63" s="715"/>
      <c r="B63" s="715"/>
      <c r="C63" s="715"/>
      <c r="D63" s="715"/>
      <c r="E63" s="715"/>
      <c r="F63" s="715"/>
      <c r="G63" s="715"/>
      <c r="H63" s="715"/>
      <c r="I63" s="715"/>
      <c r="J63" s="715"/>
      <c r="K63" s="715"/>
    </row>
    <row r="64" spans="1:11">
      <c r="A64" s="715"/>
      <c r="B64" s="715"/>
      <c r="C64" s="715"/>
      <c r="D64" s="715"/>
      <c r="E64" s="715"/>
      <c r="F64" s="715"/>
      <c r="G64" s="715"/>
      <c r="H64" s="715"/>
      <c r="I64" s="715"/>
      <c r="J64" s="715"/>
      <c r="K64" s="715"/>
    </row>
    <row r="65" spans="1:11">
      <c r="A65" s="715"/>
      <c r="B65" s="715"/>
      <c r="C65" s="715"/>
      <c r="D65" s="715"/>
      <c r="E65" s="715"/>
      <c r="F65" s="715"/>
      <c r="G65" s="715"/>
      <c r="H65" s="715"/>
      <c r="I65" s="715"/>
      <c r="J65" s="715"/>
      <c r="K65" s="715"/>
    </row>
    <row r="66" spans="1:11">
      <c r="A66" s="715"/>
      <c r="B66" s="715"/>
      <c r="C66" s="715"/>
      <c r="D66" s="715"/>
      <c r="E66" s="715"/>
      <c r="F66" s="715"/>
      <c r="G66" s="715"/>
      <c r="H66" s="715"/>
      <c r="I66" s="715"/>
      <c r="J66" s="715"/>
      <c r="K66" s="715"/>
    </row>
    <row r="67" spans="1:11">
      <c r="A67" s="715"/>
      <c r="B67" s="715"/>
      <c r="C67" s="715"/>
      <c r="D67" s="715"/>
      <c r="E67" s="715"/>
      <c r="F67" s="715"/>
      <c r="G67" s="715"/>
      <c r="H67" s="715"/>
      <c r="I67" s="715"/>
      <c r="J67" s="715"/>
      <c r="K67" s="715"/>
    </row>
    <row r="68" spans="1:11">
      <c r="A68" s="715"/>
      <c r="B68" s="715"/>
      <c r="C68" s="715"/>
      <c r="D68" s="715"/>
      <c r="E68" s="715"/>
      <c r="F68" s="715"/>
      <c r="G68" s="715"/>
      <c r="H68" s="715"/>
      <c r="I68" s="715"/>
      <c r="J68" s="715"/>
      <c r="K68" s="715"/>
    </row>
    <row r="69" spans="1:11">
      <c r="A69" s="715"/>
      <c r="B69" s="715"/>
      <c r="C69" s="715"/>
      <c r="D69" s="715"/>
      <c r="E69" s="715"/>
      <c r="F69" s="715"/>
      <c r="G69" s="715"/>
      <c r="H69" s="715"/>
      <c r="I69" s="715"/>
      <c r="J69" s="715"/>
      <c r="K69" s="715"/>
    </row>
    <row r="70" spans="1:11">
      <c r="A70" s="715"/>
      <c r="B70" s="715"/>
      <c r="C70" s="715"/>
      <c r="D70" s="715"/>
      <c r="E70" s="715"/>
      <c r="F70" s="715"/>
      <c r="G70" s="715"/>
      <c r="H70" s="715"/>
      <c r="I70" s="715"/>
      <c r="J70" s="715"/>
      <c r="K70" s="715"/>
    </row>
    <row r="71" spans="1:11">
      <c r="A71" s="715"/>
      <c r="B71" s="715"/>
      <c r="C71" s="715"/>
      <c r="D71" s="715"/>
      <c r="E71" s="715"/>
      <c r="F71" s="715"/>
      <c r="G71" s="715"/>
      <c r="H71" s="715"/>
      <c r="I71" s="715"/>
      <c r="J71" s="715"/>
      <c r="K71" s="715"/>
    </row>
    <row r="72" spans="1:11">
      <c r="A72" s="715"/>
      <c r="B72" s="715"/>
      <c r="C72" s="715"/>
      <c r="D72" s="715"/>
      <c r="E72" s="715"/>
      <c r="F72" s="715"/>
      <c r="G72" s="715"/>
      <c r="H72" s="715"/>
      <c r="I72" s="715"/>
      <c r="J72" s="715"/>
      <c r="K72" s="715"/>
    </row>
    <row r="73" spans="1:11">
      <c r="A73" s="715"/>
      <c r="B73" s="715"/>
      <c r="C73" s="715"/>
      <c r="D73" s="715"/>
      <c r="E73" s="715"/>
      <c r="F73" s="715"/>
      <c r="G73" s="715"/>
      <c r="H73" s="715"/>
      <c r="I73" s="715"/>
      <c r="J73" s="715"/>
      <c r="K73" s="715"/>
    </row>
    <row r="74" spans="1:11">
      <c r="A74" s="715"/>
      <c r="B74" s="715"/>
      <c r="C74" s="715"/>
      <c r="D74" s="715"/>
      <c r="E74" s="715"/>
      <c r="F74" s="715"/>
      <c r="G74" s="715"/>
      <c r="H74" s="715"/>
      <c r="I74" s="715"/>
      <c r="J74" s="715"/>
      <c r="K74" s="715"/>
    </row>
    <row r="75" spans="1:11">
      <c r="A75" s="715"/>
      <c r="B75" s="715"/>
      <c r="C75" s="715"/>
      <c r="D75" s="715"/>
      <c r="E75" s="715"/>
      <c r="F75" s="715"/>
      <c r="G75" s="715"/>
      <c r="H75" s="715"/>
      <c r="I75" s="715"/>
    </row>
  </sheetData>
  <mergeCells count="13">
    <mergeCell ref="B26:I26"/>
    <mergeCell ref="B27:I27"/>
    <mergeCell ref="C28:H28"/>
    <mergeCell ref="A52:I52"/>
    <mergeCell ref="A48:I48"/>
    <mergeCell ref="A49:I49"/>
    <mergeCell ref="A50:I50"/>
    <mergeCell ref="A1:I1"/>
    <mergeCell ref="A2:I2"/>
    <mergeCell ref="A3:I3"/>
    <mergeCell ref="B24:I24"/>
    <mergeCell ref="C25:I25"/>
    <mergeCell ref="B23:I23"/>
  </mergeCells>
  <phoneticPr fontId="36" type="noConversion"/>
  <pageMargins left="0.87" right="0.53" top="0.4" bottom="0.47" header="0.28999999999999998" footer="0.27"/>
  <pageSetup paperSize="9" firstPageNumber="0" orientation="portrait" useFirstPageNumber="1" verticalDpi="1200" r:id="rId1"/>
  <headerFooter alignWithMargins="0"/>
</worksheet>
</file>

<file path=xl/worksheets/sheet39.xml><?xml version="1.0" encoding="utf-8"?>
<worksheet xmlns="http://schemas.openxmlformats.org/spreadsheetml/2006/main" xmlns:r="http://schemas.openxmlformats.org/officeDocument/2006/relationships">
  <sheetPr codeName="Sheet9" enableFormatConditionsCalculation="0">
    <tabColor indexed="33"/>
  </sheetPr>
  <dimension ref="A1:P170"/>
  <sheetViews>
    <sheetView showGridLines="0" view="pageBreakPreview" topLeftCell="A152" zoomScaleSheetLayoutView="100" workbookViewId="0">
      <selection activeCell="D167" sqref="D167"/>
    </sheetView>
  </sheetViews>
  <sheetFormatPr defaultRowHeight="15"/>
  <cols>
    <col min="1" max="1" width="3.125" style="1024" customWidth="1"/>
    <col min="2" max="7" width="9" style="1024"/>
    <col min="8" max="8" width="5.875" style="1024" customWidth="1"/>
    <col min="9" max="9" width="9" style="1024"/>
    <col min="10" max="10" width="10.375" style="1024" customWidth="1"/>
    <col min="11" max="16384" width="9" style="1024"/>
  </cols>
  <sheetData>
    <row r="1" spans="1:12" s="996" customFormat="1" ht="27.75" customHeight="1">
      <c r="A1" s="1621"/>
      <c r="B1" s="1621"/>
      <c r="C1" s="1621"/>
      <c r="D1" s="1621"/>
      <c r="E1" s="1621"/>
      <c r="F1" s="1621"/>
      <c r="G1" s="1621"/>
      <c r="H1" s="1621"/>
      <c r="I1" s="1621"/>
      <c r="J1" s="1621"/>
    </row>
    <row r="2" spans="1:12" s="50" customFormat="1" ht="18.75" customHeight="1">
      <c r="A2" s="1622"/>
      <c r="B2" s="1622"/>
      <c r="C2" s="1622"/>
      <c r="D2" s="1622"/>
      <c r="E2" s="1622"/>
      <c r="F2" s="1622"/>
      <c r="G2" s="1622"/>
      <c r="H2" s="1622"/>
      <c r="I2" s="1622"/>
      <c r="J2" s="1622"/>
    </row>
    <row r="3" spans="1:12" s="50" customFormat="1" ht="18.75" customHeight="1">
      <c r="A3" s="1623"/>
      <c r="B3" s="1623"/>
      <c r="C3" s="1623"/>
      <c r="D3" s="1623"/>
      <c r="E3" s="1623"/>
      <c r="F3" s="1623"/>
      <c r="G3" s="1623"/>
      <c r="H3" s="1623"/>
      <c r="I3" s="1623"/>
      <c r="J3" s="1623"/>
    </row>
    <row r="4" spans="1:12" s="254" customFormat="1"/>
    <row r="5" spans="1:12" s="254" customFormat="1"/>
    <row r="6" spans="1:12" s="254" customFormat="1">
      <c r="B6" s="1366"/>
    </row>
    <row r="7" spans="1:12" s="254" customFormat="1"/>
    <row r="8" spans="1:12" s="254" customFormat="1"/>
    <row r="9" spans="1:12" s="254" customFormat="1"/>
    <row r="10" spans="1:12" s="254" customFormat="1"/>
    <row r="11" spans="1:12" s="997" customFormat="1" ht="21.75">
      <c r="A11" s="254"/>
      <c r="B11" s="1626" t="s">
        <v>334</v>
      </c>
      <c r="C11" s="1626"/>
      <c r="D11" s="1626"/>
      <c r="E11" s="1626"/>
      <c r="F11" s="1626"/>
      <c r="G11" s="1626"/>
    </row>
    <row r="12" spans="1:12" s="997" customFormat="1" ht="8.25" customHeight="1">
      <c r="B12" s="1364"/>
    </row>
    <row r="13" spans="1:12" s="1173" customFormat="1" ht="16.5">
      <c r="A13" s="1560" t="s">
        <v>1324</v>
      </c>
      <c r="B13" s="1371"/>
      <c r="C13" s="1560" t="s">
        <v>1326</v>
      </c>
      <c r="I13" s="1174" t="s">
        <v>457</v>
      </c>
    </row>
    <row r="14" spans="1:12" s="1173" customFormat="1" ht="11.25" customHeight="1">
      <c r="K14" s="1175"/>
      <c r="L14" s="1175"/>
    </row>
    <row r="15" spans="1:12" s="1173" customFormat="1" ht="21.75" customHeight="1">
      <c r="A15" s="1176" t="s">
        <v>662</v>
      </c>
      <c r="B15" s="1176" t="s">
        <v>313</v>
      </c>
      <c r="C15" s="1176"/>
      <c r="D15" s="1177"/>
      <c r="E15" s="1175"/>
      <c r="F15" s="1175"/>
      <c r="G15" s="1175"/>
      <c r="H15" s="1175"/>
      <c r="I15" s="1178" t="s">
        <v>37</v>
      </c>
      <c r="K15" s="1175"/>
      <c r="L15" s="1175"/>
    </row>
    <row r="16" spans="1:12" s="1173" customFormat="1" ht="5.25" customHeight="1">
      <c r="B16" s="1176"/>
      <c r="C16" s="1176"/>
      <c r="D16" s="1177"/>
      <c r="E16" s="1175"/>
      <c r="F16" s="1175"/>
      <c r="G16" s="1175"/>
      <c r="H16" s="1175"/>
      <c r="I16" s="1179"/>
      <c r="K16" s="1175"/>
      <c r="L16" s="1175"/>
    </row>
    <row r="17" spans="1:12" s="1173" customFormat="1" ht="21.75" customHeight="1">
      <c r="A17" s="1176" t="s">
        <v>664</v>
      </c>
      <c r="B17" s="1176" t="s">
        <v>458</v>
      </c>
      <c r="C17" s="1176"/>
      <c r="D17" s="1177"/>
      <c r="E17" s="1175"/>
      <c r="F17" s="1175"/>
      <c r="G17" s="1175"/>
      <c r="H17" s="1175"/>
      <c r="I17" s="1188" t="s">
        <v>38</v>
      </c>
      <c r="K17" s="1175"/>
      <c r="L17" s="1175"/>
    </row>
    <row r="18" spans="1:12" s="1173" customFormat="1" ht="5.25" customHeight="1">
      <c r="B18" s="1176"/>
      <c r="C18" s="1176"/>
      <c r="D18" s="1177"/>
      <c r="E18" s="1175"/>
      <c r="F18" s="1175"/>
      <c r="G18" s="1175"/>
      <c r="H18" s="1175"/>
      <c r="I18" s="1180"/>
      <c r="K18" s="1175"/>
      <c r="L18" s="1175"/>
    </row>
    <row r="19" spans="1:12" s="1173" customFormat="1" ht="21.75" customHeight="1">
      <c r="A19" s="1176" t="s">
        <v>666</v>
      </c>
      <c r="B19" s="1176" t="s">
        <v>459</v>
      </c>
      <c r="C19" s="1176"/>
      <c r="D19" s="1177"/>
      <c r="E19" s="1175"/>
      <c r="F19" s="1175"/>
      <c r="G19" s="1175"/>
      <c r="H19" s="1175"/>
      <c r="I19" s="1181"/>
      <c r="K19" s="1175"/>
      <c r="L19" s="1175"/>
    </row>
    <row r="20" spans="1:12" s="1173" customFormat="1" ht="5.25" customHeight="1">
      <c r="B20" s="1176"/>
      <c r="C20" s="1176"/>
      <c r="D20" s="1177"/>
      <c r="E20" s="1175"/>
      <c r="F20" s="1175"/>
      <c r="G20" s="1175"/>
      <c r="H20" s="1175"/>
      <c r="I20" s="1182"/>
      <c r="K20" s="1175"/>
      <c r="L20" s="1175"/>
    </row>
    <row r="21" spans="1:12" s="1183" customFormat="1" ht="21.75" customHeight="1">
      <c r="B21" s="1184" t="s">
        <v>1389</v>
      </c>
      <c r="C21" s="1185" t="s">
        <v>461</v>
      </c>
      <c r="D21" s="1185"/>
      <c r="E21" s="1186"/>
      <c r="F21" s="1186"/>
      <c r="G21" s="1186"/>
      <c r="H21" s="1186"/>
      <c r="I21" s="1568" t="s">
        <v>39</v>
      </c>
      <c r="K21" s="1186"/>
      <c r="L21" s="1186"/>
    </row>
    <row r="22" spans="1:12" s="1183" customFormat="1" ht="3" customHeight="1">
      <c r="B22" s="1187"/>
      <c r="C22" s="1185"/>
      <c r="D22" s="1185"/>
      <c r="E22" s="1186"/>
      <c r="F22" s="1186"/>
      <c r="G22" s="1186"/>
      <c r="H22" s="1186"/>
      <c r="I22" s="1179"/>
      <c r="K22" s="1186"/>
      <c r="L22" s="1186"/>
    </row>
    <row r="23" spans="1:12" s="1183" customFormat="1" ht="21.75" customHeight="1">
      <c r="B23" s="1184" t="s">
        <v>1389</v>
      </c>
      <c r="C23" s="1185" t="s">
        <v>460</v>
      </c>
      <c r="D23" s="1185"/>
      <c r="E23" s="1186"/>
      <c r="F23" s="1186"/>
      <c r="G23" s="1186"/>
      <c r="H23" s="1186"/>
      <c r="I23" s="1569" t="s">
        <v>40</v>
      </c>
      <c r="K23" s="1186"/>
      <c r="L23" s="1186"/>
    </row>
    <row r="24" spans="1:12" s="1183" customFormat="1" ht="1.5" customHeight="1">
      <c r="B24" s="1187"/>
      <c r="C24" s="1185"/>
      <c r="D24" s="1185"/>
      <c r="E24" s="1186"/>
      <c r="F24" s="1186"/>
      <c r="G24" s="1186"/>
      <c r="H24" s="1186"/>
      <c r="I24" s="1179"/>
      <c r="K24" s="1186"/>
      <c r="L24" s="1186"/>
    </row>
    <row r="25" spans="1:12" s="1183" customFormat="1" ht="21" customHeight="1">
      <c r="B25" s="1184" t="s">
        <v>1389</v>
      </c>
      <c r="C25" s="1570" t="s">
        <v>456</v>
      </c>
      <c r="D25" s="1189"/>
      <c r="E25" s="1186"/>
      <c r="F25" s="1186"/>
      <c r="G25" s="1186"/>
      <c r="H25" s="1186"/>
      <c r="I25" s="1568">
        <v>11</v>
      </c>
      <c r="K25" s="1186"/>
      <c r="L25" s="1186"/>
    </row>
    <row r="26" spans="1:12" s="1183" customFormat="1" ht="21" customHeight="1">
      <c r="B26" s="1184" t="s">
        <v>1389</v>
      </c>
      <c r="C26" s="1570" t="s">
        <v>462</v>
      </c>
      <c r="D26" s="1189"/>
      <c r="E26" s="1186"/>
      <c r="F26" s="1186"/>
      <c r="G26" s="1186"/>
      <c r="H26" s="1186"/>
      <c r="I26" s="1317" t="s">
        <v>41</v>
      </c>
      <c r="J26" s="1186"/>
      <c r="K26" s="1186"/>
      <c r="L26" s="1186"/>
    </row>
    <row r="27" spans="1:12" s="254" customFormat="1">
      <c r="A27" s="998"/>
      <c r="B27" s="998"/>
      <c r="C27" s="998"/>
      <c r="D27" s="998"/>
      <c r="E27" s="998"/>
      <c r="F27" s="998"/>
      <c r="G27" s="998"/>
      <c r="H27" s="998"/>
      <c r="I27" s="998"/>
      <c r="J27" s="998"/>
      <c r="K27" s="998"/>
      <c r="L27" s="998"/>
    </row>
    <row r="28" spans="1:12" s="254" customFormat="1">
      <c r="A28" s="998"/>
      <c r="B28" s="998"/>
      <c r="C28" s="998"/>
      <c r="D28" s="998"/>
      <c r="E28" s="998"/>
      <c r="F28" s="998"/>
      <c r="G28" s="998"/>
      <c r="H28" s="998"/>
      <c r="I28" s="998"/>
      <c r="J28" s="998"/>
      <c r="K28" s="998"/>
      <c r="L28" s="998"/>
    </row>
    <row r="29" spans="1:12" s="254" customFormat="1">
      <c r="A29" s="998"/>
      <c r="B29" s="998"/>
      <c r="C29" s="998"/>
      <c r="D29" s="998"/>
      <c r="E29" s="998"/>
      <c r="F29" s="998"/>
      <c r="G29" s="998"/>
      <c r="H29" s="998"/>
      <c r="I29" s="998"/>
      <c r="J29" s="998"/>
      <c r="K29" s="998"/>
      <c r="L29" s="998"/>
    </row>
    <row r="30" spans="1:12" s="1000" customFormat="1" ht="18.75" customHeight="1">
      <c r="A30" s="1291" t="str">
        <f>'Ten '!A10</f>
        <v>C«ng ty Cæ phÇn §Çu t­ &amp; Th­¬ng m¹i DÇu KhÝ S«ng §µ</v>
      </c>
      <c r="B30" s="999"/>
      <c r="I30" s="1001"/>
      <c r="J30" s="1002" t="s">
        <v>851</v>
      </c>
    </row>
    <row r="31" spans="1:12" s="254" customFormat="1" ht="18.75" customHeight="1">
      <c r="A31" s="1170" t="str">
        <f>'Ten '!A11</f>
        <v>§Þa chØ: TÇng 4, CT3, tßa nhµ Fodacon, ®­êng TrÇn Phó</v>
      </c>
      <c r="B31" s="1003"/>
      <c r="C31" s="274"/>
      <c r="D31" s="1004"/>
      <c r="E31" s="1004"/>
      <c r="F31" s="1004"/>
      <c r="G31" s="1004"/>
      <c r="H31" s="1625" t="s">
        <v>654</v>
      </c>
      <c r="I31" s="1625"/>
      <c r="J31" s="1625"/>
      <c r="K31" s="998"/>
      <c r="L31" s="998"/>
    </row>
    <row r="32" spans="1:12" s="254" customFormat="1" ht="18.75" customHeight="1">
      <c r="A32" s="1279" t="s">
        <v>887</v>
      </c>
      <c r="B32" s="1005"/>
      <c r="C32" s="1006"/>
      <c r="D32" s="1007"/>
      <c r="E32" s="1007"/>
      <c r="F32" s="1007"/>
      <c r="G32" s="1157"/>
      <c r="H32" s="1007"/>
      <c r="I32" s="1007"/>
      <c r="J32" s="1547" t="s">
        <v>1380</v>
      </c>
      <c r="K32" s="998"/>
      <c r="L32" s="998"/>
    </row>
    <row r="33" spans="1:12" s="254" customFormat="1" ht="8.25" customHeight="1">
      <c r="A33" s="1004"/>
      <c r="B33" s="1004"/>
      <c r="C33" s="1004"/>
      <c r="D33" s="1004"/>
      <c r="E33" s="1004"/>
      <c r="F33" s="1004"/>
      <c r="G33" s="1004"/>
      <c r="H33" s="1004"/>
      <c r="I33" s="1004"/>
      <c r="J33" s="1004"/>
      <c r="K33" s="998"/>
      <c r="L33" s="998"/>
    </row>
    <row r="34" spans="1:12" s="254" customFormat="1" ht="5.25" customHeight="1">
      <c r="A34" s="1004"/>
      <c r="B34" s="1004"/>
      <c r="C34" s="1004"/>
      <c r="D34" s="1004"/>
      <c r="E34" s="1004"/>
      <c r="F34" s="1004"/>
      <c r="G34" s="1004"/>
      <c r="H34" s="1004"/>
      <c r="I34" s="1004"/>
      <c r="J34" s="1004"/>
      <c r="K34" s="998"/>
      <c r="L34" s="998"/>
    </row>
    <row r="35" spans="1:12" s="1000" customFormat="1" ht="20.25" customHeight="1">
      <c r="A35" s="1624" t="s">
        <v>314</v>
      </c>
      <c r="B35" s="1624"/>
      <c r="C35" s="1624"/>
      <c r="D35" s="1624"/>
      <c r="E35" s="1624"/>
      <c r="F35" s="1624"/>
      <c r="G35" s="1624"/>
      <c r="H35" s="1624"/>
      <c r="I35" s="1624"/>
      <c r="J35" s="1624"/>
    </row>
    <row r="36" spans="1:12" s="254" customFormat="1" ht="4.5" customHeight="1">
      <c r="A36" s="1008"/>
      <c r="B36" s="1008"/>
      <c r="C36" s="998"/>
      <c r="D36" s="998"/>
      <c r="E36" s="998"/>
      <c r="F36" s="998"/>
      <c r="G36" s="998"/>
      <c r="H36" s="998"/>
      <c r="I36" s="998"/>
      <c r="J36" s="998"/>
      <c r="K36" s="998"/>
      <c r="L36" s="998"/>
    </row>
    <row r="37" spans="1:12" s="254" customFormat="1" ht="47.25" customHeight="1">
      <c r="A37" s="1613" t="s">
        <v>275</v>
      </c>
      <c r="B37" s="1613"/>
      <c r="C37" s="1613"/>
      <c r="D37" s="1613"/>
      <c r="E37" s="1613"/>
      <c r="F37" s="1613"/>
      <c r="G37" s="1613"/>
      <c r="H37" s="1613"/>
      <c r="I37" s="1613"/>
      <c r="J37" s="1613"/>
      <c r="K37" s="998"/>
      <c r="L37" s="998"/>
    </row>
    <row r="38" spans="1:12" s="1558" customFormat="1" ht="18.75" customHeight="1">
      <c r="A38" s="1557" t="s">
        <v>565</v>
      </c>
      <c r="B38" s="1557" t="s">
        <v>1248</v>
      </c>
    </row>
    <row r="39" spans="1:12" s="998" customFormat="1" ht="3.75" customHeight="1">
      <c r="A39" s="1008"/>
      <c r="B39" s="1008"/>
    </row>
    <row r="40" spans="1:12" s="1009" customFormat="1" ht="74.25" customHeight="1">
      <c r="A40" s="1617" t="s">
        <v>278</v>
      </c>
      <c r="B40" s="1617"/>
      <c r="C40" s="1617"/>
      <c r="D40" s="1617"/>
      <c r="E40" s="1617"/>
      <c r="F40" s="1617"/>
      <c r="G40" s="1617"/>
      <c r="H40" s="1617"/>
      <c r="I40" s="1617"/>
      <c r="J40" s="1617"/>
    </row>
    <row r="41" spans="1:12" s="1010" customFormat="1" ht="6" customHeight="1"/>
    <row r="42" spans="1:12" s="1011" customFormat="1" ht="33.75" customHeight="1">
      <c r="A42" s="1616" t="s">
        <v>1586</v>
      </c>
      <c r="B42" s="1616"/>
      <c r="C42" s="1616"/>
      <c r="D42" s="1616"/>
      <c r="E42" s="1616"/>
      <c r="F42" s="1616"/>
      <c r="G42" s="1616"/>
      <c r="H42" s="1616"/>
      <c r="I42" s="1616"/>
      <c r="J42" s="1616"/>
    </row>
    <row r="43" spans="1:12" s="1010" customFormat="1" ht="5.25" customHeight="1"/>
    <row r="44" spans="1:12" s="1010" customFormat="1" ht="37.5" customHeight="1">
      <c r="A44" s="1615" t="s">
        <v>1250</v>
      </c>
      <c r="B44" s="1615"/>
      <c r="C44" s="1615"/>
      <c r="D44" s="1615"/>
      <c r="E44" s="1615"/>
      <c r="F44" s="1615"/>
      <c r="G44" s="1615"/>
      <c r="H44" s="1615"/>
      <c r="I44" s="1615"/>
      <c r="J44" s="1615"/>
    </row>
    <row r="45" spans="1:12" s="1010" customFormat="1" ht="1.5" customHeight="1"/>
    <row r="46" spans="1:12" s="1010" customFormat="1" ht="15.75">
      <c r="A46" s="1011" t="s">
        <v>276</v>
      </c>
    </row>
    <row r="47" spans="1:12" s="1318" customFormat="1" ht="15.75">
      <c r="A47" s="1380" t="s">
        <v>277</v>
      </c>
    </row>
    <row r="48" spans="1:12" s="1010" customFormat="1" ht="15.75">
      <c r="A48" s="1614" t="s">
        <v>925</v>
      </c>
      <c r="B48" s="1614"/>
      <c r="C48" s="1614"/>
      <c r="D48" s="1614"/>
      <c r="E48" s="1614"/>
      <c r="G48" s="1614" t="s">
        <v>926</v>
      </c>
      <c r="H48" s="1614"/>
      <c r="I48" s="1614"/>
      <c r="J48" s="1614"/>
    </row>
    <row r="49" spans="1:16" s="1010" customFormat="1" ht="15.75" customHeight="1">
      <c r="B49" s="1010" t="s">
        <v>1186</v>
      </c>
      <c r="G49" s="1617" t="s">
        <v>353</v>
      </c>
      <c r="H49" s="1617"/>
      <c r="I49" s="1617"/>
      <c r="J49" s="1617"/>
    </row>
    <row r="50" spans="1:16" s="1010" customFormat="1" ht="15.75" customHeight="1">
      <c r="B50" s="1318"/>
      <c r="G50" s="1617"/>
      <c r="H50" s="1617"/>
      <c r="I50" s="1617"/>
      <c r="J50" s="1617"/>
    </row>
    <row r="51" spans="1:16" s="1010" customFormat="1" ht="15.75" customHeight="1">
      <c r="A51" s="1195"/>
      <c r="B51" s="1195" t="s">
        <v>1666</v>
      </c>
      <c r="C51" s="1195"/>
      <c r="D51" s="1195"/>
      <c r="E51" s="1195"/>
      <c r="F51" s="1195"/>
      <c r="G51" s="1619" t="s">
        <v>1667</v>
      </c>
      <c r="H51" s="1619"/>
      <c r="I51" s="1619"/>
      <c r="J51" s="1619"/>
    </row>
    <row r="52" spans="1:16" s="1010" customFormat="1" ht="15.75" customHeight="1">
      <c r="A52" s="1499"/>
      <c r="B52" s="1195"/>
      <c r="C52" s="1195"/>
      <c r="D52" s="1195"/>
      <c r="E52" s="1195"/>
      <c r="F52" s="1195"/>
      <c r="G52" s="1619"/>
      <c r="H52" s="1619"/>
      <c r="I52" s="1619"/>
      <c r="J52" s="1619"/>
    </row>
    <row r="53" spans="1:16" s="1010" customFormat="1" ht="7.5" customHeight="1">
      <c r="G53" s="1361"/>
      <c r="H53" s="1361"/>
      <c r="I53" s="1361"/>
      <c r="J53" s="1361"/>
    </row>
    <row r="54" spans="1:16" s="1318" customFormat="1" ht="15.75">
      <c r="A54" s="1380" t="s">
        <v>1251</v>
      </c>
    </row>
    <row r="55" spans="1:16" s="1010" customFormat="1" ht="15.75">
      <c r="A55" s="1614" t="s">
        <v>925</v>
      </c>
      <c r="B55" s="1614"/>
      <c r="C55" s="1614"/>
      <c r="D55" s="1614"/>
      <c r="E55" s="1614"/>
      <c r="G55" s="1614" t="s">
        <v>926</v>
      </c>
      <c r="H55" s="1614"/>
      <c r="I55" s="1614"/>
      <c r="J55" s="1614"/>
    </row>
    <row r="56" spans="1:16" s="1010" customFormat="1" ht="21" customHeight="1">
      <c r="A56" s="1010" t="s">
        <v>351</v>
      </c>
      <c r="G56" s="1617" t="s">
        <v>352</v>
      </c>
      <c r="H56" s="1617"/>
      <c r="I56" s="1617"/>
      <c r="J56" s="1617"/>
      <c r="L56" s="1381"/>
      <c r="M56" s="1381"/>
      <c r="N56" s="1381"/>
      <c r="O56" s="1381"/>
      <c r="P56" s="1381"/>
    </row>
    <row r="57" spans="1:16" s="1010" customFormat="1" ht="25.5" customHeight="1">
      <c r="G57" s="1617"/>
      <c r="H57" s="1617"/>
      <c r="I57" s="1617"/>
      <c r="J57" s="1617"/>
      <c r="L57" s="1382"/>
      <c r="M57" s="1381"/>
      <c r="N57" s="1381"/>
      <c r="O57" s="1381"/>
      <c r="P57" s="1381"/>
    </row>
    <row r="58" spans="1:16" s="1010" customFormat="1" ht="6.75" customHeight="1">
      <c r="L58" s="1381"/>
      <c r="M58" s="1381"/>
      <c r="N58" s="1381"/>
      <c r="O58" s="1381"/>
      <c r="P58" s="1381"/>
    </row>
    <row r="59" spans="1:16" s="1010" customFormat="1" ht="15" customHeight="1">
      <c r="A59" s="1198" t="s">
        <v>1221</v>
      </c>
      <c r="B59" s="1198"/>
      <c r="C59" s="1195"/>
      <c r="D59" s="1195"/>
      <c r="E59" s="1195"/>
      <c r="F59" s="1195"/>
      <c r="G59" s="1195"/>
      <c r="H59" s="1195"/>
      <c r="I59" s="1195"/>
      <c r="J59" s="1195"/>
      <c r="L59" s="1381"/>
      <c r="M59" s="1381"/>
      <c r="N59" s="1381"/>
      <c r="O59" s="1381"/>
      <c r="P59" s="1381"/>
    </row>
    <row r="60" spans="1:16" s="1010" customFormat="1" ht="3.75" customHeight="1">
      <c r="A60" s="1195"/>
      <c r="B60" s="1195"/>
      <c r="C60" s="1195"/>
      <c r="D60" s="1195"/>
      <c r="E60" s="1195"/>
      <c r="F60" s="1195"/>
      <c r="G60" s="1195"/>
      <c r="H60" s="1195"/>
      <c r="I60" s="1195"/>
      <c r="J60" s="1195"/>
      <c r="L60" s="1381"/>
      <c r="M60" s="1381"/>
      <c r="N60" s="1381"/>
      <c r="O60" s="1381"/>
      <c r="P60" s="1381"/>
    </row>
    <row r="61" spans="1:16" s="1010" customFormat="1" ht="18" customHeight="1">
      <c r="A61" s="1194" t="s">
        <v>335</v>
      </c>
      <c r="B61" s="1194"/>
      <c r="C61" s="1195"/>
      <c r="D61" s="1195"/>
      <c r="E61" s="1195"/>
      <c r="F61" s="1195"/>
      <c r="G61" s="1195"/>
      <c r="H61" s="1195"/>
      <c r="I61" s="1195"/>
      <c r="J61" s="1195"/>
      <c r="L61" s="1381"/>
      <c r="M61" s="1381"/>
      <c r="N61" s="1381"/>
      <c r="O61" s="1381"/>
      <c r="P61" s="1381"/>
    </row>
    <row r="62" spans="1:16" s="1010" customFormat="1" ht="5.25" customHeight="1">
      <c r="A62" s="1195"/>
      <c r="B62" s="1195"/>
      <c r="C62" s="1195"/>
      <c r="D62" s="1195"/>
      <c r="E62" s="1195"/>
      <c r="F62" s="1195"/>
      <c r="G62" s="1195"/>
      <c r="H62" s="1195"/>
      <c r="I62" s="1195"/>
      <c r="J62" s="1195"/>
      <c r="L62" s="1381"/>
      <c r="M62" s="1381"/>
      <c r="N62" s="1381"/>
      <c r="O62" s="1381"/>
      <c r="P62" s="1381"/>
    </row>
    <row r="63" spans="1:16" s="1010" customFormat="1" ht="15.75">
      <c r="A63" s="1196">
        <v>1</v>
      </c>
      <c r="B63" s="1197" t="s">
        <v>354</v>
      </c>
      <c r="C63" s="1195"/>
      <c r="D63" s="1195"/>
      <c r="E63" s="1195"/>
      <c r="F63" s="1197" t="s">
        <v>336</v>
      </c>
      <c r="G63" s="1195"/>
      <c r="H63" s="1195"/>
      <c r="I63" s="1195"/>
      <c r="J63" s="1195"/>
      <c r="L63" s="1381"/>
      <c r="M63" s="1381"/>
      <c r="N63" s="1381"/>
      <c r="O63" s="1381"/>
      <c r="P63" s="1381"/>
    </row>
    <row r="64" spans="1:16" s="1010" customFormat="1">
      <c r="A64" s="1196">
        <v>2</v>
      </c>
      <c r="B64" s="1197" t="s">
        <v>355</v>
      </c>
      <c r="C64" s="1195"/>
      <c r="D64" s="1195"/>
      <c r="E64" s="1195"/>
      <c r="F64" s="1197" t="s">
        <v>337</v>
      </c>
      <c r="G64" s="1195"/>
      <c r="H64" s="1195"/>
      <c r="I64" s="1195"/>
      <c r="J64" s="1195"/>
    </row>
    <row r="65" spans="1:10" s="1010" customFormat="1">
      <c r="A65" s="1196">
        <v>3</v>
      </c>
      <c r="B65" s="1197" t="s">
        <v>1002</v>
      </c>
      <c r="C65" s="1195"/>
      <c r="D65" s="1195"/>
      <c r="E65" s="1195"/>
      <c r="F65" s="1197" t="s">
        <v>337</v>
      </c>
      <c r="G65" s="1195"/>
      <c r="H65" s="1195"/>
      <c r="I65" s="1195"/>
      <c r="J65" s="1195"/>
    </row>
    <row r="66" spans="1:10" s="1010" customFormat="1">
      <c r="A66" s="1196">
        <v>4</v>
      </c>
      <c r="B66" s="1197" t="s">
        <v>849</v>
      </c>
      <c r="C66" s="1195"/>
      <c r="D66" s="1195"/>
      <c r="E66" s="1195"/>
      <c r="F66" s="1197" t="s">
        <v>337</v>
      </c>
      <c r="G66" s="1195"/>
      <c r="H66" s="1195"/>
      <c r="I66" s="1195"/>
      <c r="J66" s="1195"/>
    </row>
    <row r="67" spans="1:10" s="1010" customFormat="1">
      <c r="A67" s="1196">
        <v>5</v>
      </c>
      <c r="B67" s="1197" t="s">
        <v>850</v>
      </c>
      <c r="C67" s="1195"/>
      <c r="D67" s="1195"/>
      <c r="E67" s="1195"/>
      <c r="F67" s="1197" t="s">
        <v>337</v>
      </c>
      <c r="G67" s="1195"/>
      <c r="H67" s="1195"/>
      <c r="I67" s="1195"/>
      <c r="J67" s="1195"/>
    </row>
    <row r="68" spans="1:10" s="1010" customFormat="1" ht="4.5" customHeight="1">
      <c r="A68" s="1198"/>
      <c r="B68" s="1198"/>
      <c r="C68" s="1195"/>
      <c r="D68" s="1195"/>
      <c r="E68" s="1195"/>
      <c r="F68" s="1195"/>
      <c r="G68" s="1195"/>
      <c r="H68" s="1195"/>
      <c r="I68" s="1195"/>
      <c r="J68" s="1195"/>
    </row>
    <row r="69" spans="1:10" s="1010" customFormat="1">
      <c r="A69" s="1194" t="s">
        <v>1187</v>
      </c>
      <c r="B69" s="1194"/>
      <c r="C69" s="1195"/>
      <c r="D69" s="1195"/>
      <c r="E69" s="1195"/>
      <c r="F69" s="1195"/>
      <c r="G69" s="1195"/>
      <c r="H69" s="1195"/>
      <c r="I69" s="1195"/>
      <c r="J69" s="1195"/>
    </row>
    <row r="70" spans="1:10" s="1010" customFormat="1" ht="5.25" customHeight="1">
      <c r="A70" s="1195"/>
      <c r="B70" s="1195"/>
      <c r="C70" s="1195"/>
      <c r="D70" s="1195"/>
      <c r="E70" s="1195"/>
      <c r="F70" s="1195"/>
      <c r="G70" s="1195"/>
      <c r="H70" s="1195"/>
      <c r="I70" s="1195"/>
      <c r="J70" s="1195"/>
    </row>
    <row r="71" spans="1:10" s="1010" customFormat="1">
      <c r="A71" s="1196">
        <v>1</v>
      </c>
      <c r="B71" s="1197" t="s">
        <v>355</v>
      </c>
      <c r="C71" s="1195"/>
      <c r="D71" s="1195"/>
      <c r="E71" s="1195"/>
      <c r="F71" s="1197" t="s">
        <v>559</v>
      </c>
      <c r="G71" s="1195"/>
      <c r="H71" s="1195"/>
      <c r="I71" s="1195"/>
      <c r="J71" s="1195"/>
    </row>
    <row r="72" spans="1:10" s="1010" customFormat="1">
      <c r="A72" s="1196">
        <v>2</v>
      </c>
      <c r="B72" s="1197" t="s">
        <v>356</v>
      </c>
      <c r="C72" s="1195"/>
      <c r="D72" s="1195"/>
      <c r="E72" s="1195"/>
      <c r="F72" s="1197" t="s">
        <v>1398</v>
      </c>
      <c r="G72" s="1195"/>
      <c r="H72" s="1195"/>
      <c r="I72" s="1195"/>
      <c r="J72" s="1195"/>
    </row>
    <row r="73" spans="1:10" s="1010" customFormat="1">
      <c r="A73" s="1196">
        <v>3</v>
      </c>
      <c r="B73" s="1197" t="s">
        <v>850</v>
      </c>
      <c r="C73" s="1195"/>
      <c r="D73" s="1195"/>
      <c r="E73" s="1195"/>
      <c r="F73" s="1197" t="s">
        <v>1398</v>
      </c>
      <c r="G73" s="1195"/>
      <c r="H73" s="1195"/>
      <c r="I73" s="1195"/>
      <c r="J73" s="1195"/>
    </row>
    <row r="74" spans="1:10" s="1010" customFormat="1">
      <c r="A74" s="1196">
        <v>4</v>
      </c>
      <c r="B74" s="1197" t="s">
        <v>852</v>
      </c>
      <c r="C74" s="1195"/>
      <c r="D74" s="1195"/>
      <c r="E74" s="1195"/>
      <c r="F74" s="1197" t="s">
        <v>1398</v>
      </c>
      <c r="G74" s="1195"/>
      <c r="H74" s="1195"/>
      <c r="I74" s="1195"/>
      <c r="J74" s="1195"/>
    </row>
    <row r="75" spans="1:10" s="1010" customFormat="1">
      <c r="A75" s="1196">
        <v>5</v>
      </c>
      <c r="B75" s="1197" t="s">
        <v>853</v>
      </c>
      <c r="C75" s="1195"/>
      <c r="D75" s="1195"/>
      <c r="E75" s="1195"/>
      <c r="F75" s="1197" t="s">
        <v>1398</v>
      </c>
      <c r="G75" s="1195"/>
      <c r="H75" s="1195"/>
      <c r="I75" s="1195"/>
      <c r="J75" s="1195"/>
    </row>
    <row r="76" spans="1:10" s="1010" customFormat="1" ht="3.75" customHeight="1">
      <c r="A76" s="1195"/>
      <c r="B76" s="1195"/>
      <c r="C76" s="1195"/>
      <c r="D76" s="1195"/>
      <c r="E76" s="1195"/>
      <c r="F76" s="1195"/>
      <c r="G76" s="1195"/>
      <c r="H76" s="1195"/>
      <c r="I76" s="1195"/>
      <c r="J76" s="1195"/>
    </row>
    <row r="77" spans="1:10" s="1010" customFormat="1">
      <c r="A77" s="1194" t="s">
        <v>339</v>
      </c>
      <c r="B77" s="1194"/>
      <c r="C77" s="1195"/>
      <c r="D77" s="1195"/>
      <c r="E77" s="1195"/>
      <c r="F77" s="1195"/>
      <c r="G77" s="1195"/>
      <c r="H77" s="1195"/>
      <c r="I77" s="1195"/>
      <c r="J77" s="1195"/>
    </row>
    <row r="78" spans="1:10" s="1010" customFormat="1" ht="7.5" customHeight="1">
      <c r="A78" s="1195"/>
      <c r="B78" s="1195"/>
      <c r="C78" s="1195"/>
      <c r="D78" s="1195"/>
      <c r="E78" s="1195"/>
      <c r="F78" s="1195"/>
      <c r="G78" s="1195"/>
      <c r="H78" s="1195"/>
      <c r="I78" s="1195"/>
      <c r="J78" s="1195"/>
    </row>
    <row r="79" spans="1:10" s="1010" customFormat="1">
      <c r="A79" s="1196">
        <v>1</v>
      </c>
      <c r="B79" s="1197" t="s">
        <v>1000</v>
      </c>
      <c r="C79" s="1195"/>
      <c r="D79" s="1195"/>
      <c r="E79" s="1195"/>
      <c r="F79" s="1197" t="s">
        <v>340</v>
      </c>
      <c r="G79" s="1195"/>
      <c r="H79" s="1195"/>
      <c r="I79" s="1195"/>
      <c r="J79" s="1195"/>
    </row>
    <row r="80" spans="1:10" s="1010" customFormat="1">
      <c r="A80" s="1196">
        <v>2</v>
      </c>
      <c r="B80" s="1197" t="s">
        <v>883</v>
      </c>
      <c r="C80" s="1195"/>
      <c r="D80" s="1195"/>
      <c r="E80" s="1195"/>
      <c r="F80" s="1197" t="s">
        <v>341</v>
      </c>
      <c r="G80" s="1195"/>
      <c r="H80" s="1195"/>
      <c r="I80" s="1195"/>
      <c r="J80" s="1195"/>
    </row>
    <row r="81" spans="1:10" s="1010" customFormat="1">
      <c r="A81" s="1196">
        <v>3</v>
      </c>
      <c r="B81" s="1197" t="s">
        <v>882</v>
      </c>
      <c r="C81" s="1195"/>
      <c r="D81" s="1195"/>
      <c r="E81" s="1195"/>
      <c r="F81" s="1197" t="s">
        <v>341</v>
      </c>
      <c r="G81" s="1195"/>
      <c r="H81" s="1195"/>
      <c r="I81" s="1195"/>
      <c r="J81" s="1195"/>
    </row>
    <row r="82" spans="1:10" s="1014" customFormat="1" ht="7.5" customHeight="1">
      <c r="A82" s="1013"/>
      <c r="B82" s="1013"/>
    </row>
    <row r="83" spans="1:10" s="998" customFormat="1" ht="15.75">
      <c r="A83" s="1008"/>
      <c r="B83" s="1008" t="s">
        <v>342</v>
      </c>
    </row>
    <row r="84" spans="1:10" s="998" customFormat="1" ht="3" customHeight="1">
      <c r="A84" s="1008"/>
      <c r="B84" s="1008"/>
    </row>
    <row r="85" spans="1:10" s="998" customFormat="1" ht="48" customHeight="1">
      <c r="A85" s="1158"/>
      <c r="B85" s="1613" t="s">
        <v>1001</v>
      </c>
      <c r="C85" s="1613"/>
      <c r="D85" s="1613"/>
      <c r="E85" s="1613"/>
      <c r="F85" s="1613"/>
      <c r="G85" s="1613"/>
      <c r="H85" s="1613"/>
      <c r="I85" s="1613"/>
      <c r="J85" s="1613"/>
    </row>
    <row r="86" spans="1:10" s="1016" customFormat="1" ht="3.75" customHeight="1">
      <c r="A86" s="1015"/>
      <c r="B86" s="1015"/>
    </row>
    <row r="87" spans="1:10" s="998" customFormat="1" ht="15.75">
      <c r="A87" s="1008"/>
      <c r="B87" s="1008" t="s">
        <v>463</v>
      </c>
    </row>
    <row r="88" spans="1:10" s="998" customFormat="1" ht="9" customHeight="1">
      <c r="A88" s="1017"/>
      <c r="B88" s="1017"/>
    </row>
    <row r="89" spans="1:10" s="998" customFormat="1" ht="63" customHeight="1">
      <c r="A89" s="1018"/>
      <c r="B89" s="1618" t="s">
        <v>1237</v>
      </c>
      <c r="C89" s="1618"/>
      <c r="D89" s="1618"/>
      <c r="E89" s="1618"/>
      <c r="F89" s="1618"/>
      <c r="G89" s="1618"/>
      <c r="H89" s="1618"/>
      <c r="I89" s="1618"/>
      <c r="J89" s="1618"/>
    </row>
    <row r="90" spans="1:10" s="998" customFormat="1" ht="3" customHeight="1">
      <c r="A90" s="1017"/>
      <c r="B90" s="1017"/>
    </row>
    <row r="91" spans="1:10" s="998" customFormat="1" ht="18.75" customHeight="1">
      <c r="A91" s="1018" t="s">
        <v>566</v>
      </c>
      <c r="B91" s="1618" t="s">
        <v>464</v>
      </c>
      <c r="C91" s="1618"/>
      <c r="D91" s="1618"/>
      <c r="E91" s="1618"/>
      <c r="F91" s="1618"/>
      <c r="G91" s="1618"/>
      <c r="H91" s="1618"/>
      <c r="I91" s="1618"/>
      <c r="J91" s="1618"/>
    </row>
    <row r="92" spans="1:10" s="998" customFormat="1" ht="3.75" customHeight="1">
      <c r="A92" s="1017"/>
      <c r="B92" s="1017"/>
    </row>
    <row r="93" spans="1:10" s="998" customFormat="1" ht="17.25" customHeight="1">
      <c r="A93" s="1018" t="s">
        <v>566</v>
      </c>
      <c r="B93" s="1618" t="s">
        <v>465</v>
      </c>
      <c r="C93" s="1618"/>
      <c r="D93" s="1618"/>
      <c r="E93" s="1618"/>
      <c r="F93" s="1618"/>
      <c r="G93" s="1618"/>
      <c r="H93" s="1618"/>
      <c r="I93" s="1618"/>
      <c r="J93" s="1618"/>
    </row>
    <row r="94" spans="1:10" s="998" customFormat="1" ht="3" customHeight="1">
      <c r="A94" s="1017"/>
      <c r="B94" s="1017"/>
    </row>
    <row r="95" spans="1:10" s="998" customFormat="1" ht="33.75" customHeight="1">
      <c r="A95" s="1018" t="s">
        <v>566</v>
      </c>
      <c r="B95" s="1618" t="s">
        <v>636</v>
      </c>
      <c r="C95" s="1618"/>
      <c r="D95" s="1618"/>
      <c r="E95" s="1618"/>
      <c r="F95" s="1618"/>
      <c r="G95" s="1618"/>
      <c r="H95" s="1618"/>
      <c r="I95" s="1618"/>
      <c r="J95" s="1618"/>
    </row>
    <row r="96" spans="1:10" s="998" customFormat="1" ht="3" customHeight="1">
      <c r="A96" s="1017"/>
      <c r="B96" s="1017"/>
    </row>
    <row r="97" spans="1:10" s="998" customFormat="1" ht="36" customHeight="1">
      <c r="A97" s="1018" t="s">
        <v>566</v>
      </c>
      <c r="B97" s="1618" t="s">
        <v>466</v>
      </c>
      <c r="C97" s="1618"/>
      <c r="D97" s="1618"/>
      <c r="E97" s="1618"/>
      <c r="F97" s="1618"/>
      <c r="G97" s="1618"/>
      <c r="H97" s="1618"/>
      <c r="I97" s="1618"/>
      <c r="J97" s="1618"/>
    </row>
    <row r="98" spans="1:10" s="998" customFormat="1" ht="3" customHeight="1">
      <c r="A98" s="1017"/>
      <c r="B98" s="1017"/>
    </row>
    <row r="99" spans="1:10" s="998" customFormat="1" ht="67.5" customHeight="1">
      <c r="A99" s="1018" t="s">
        <v>566</v>
      </c>
      <c r="B99" s="1618" t="s">
        <v>1397</v>
      </c>
      <c r="C99" s="1618"/>
      <c r="D99" s="1618"/>
      <c r="E99" s="1618"/>
      <c r="F99" s="1618"/>
      <c r="G99" s="1618"/>
      <c r="H99" s="1618"/>
      <c r="I99" s="1618"/>
      <c r="J99" s="1618"/>
    </row>
    <row r="100" spans="1:10" s="998" customFormat="1" ht="78.75" hidden="1" customHeight="1">
      <c r="A100" s="1018" t="s">
        <v>566</v>
      </c>
      <c r="B100" s="1613" t="s">
        <v>1235</v>
      </c>
      <c r="C100" s="1613"/>
      <c r="D100" s="1613"/>
      <c r="E100" s="1613"/>
      <c r="F100" s="1613"/>
      <c r="G100" s="1613"/>
      <c r="H100" s="1613"/>
      <c r="I100" s="1613"/>
      <c r="J100" s="1613"/>
    </row>
    <row r="101" spans="1:10" s="998" customFormat="1" ht="36" customHeight="1">
      <c r="A101" s="1018" t="s">
        <v>566</v>
      </c>
      <c r="B101" s="1618" t="s">
        <v>315</v>
      </c>
      <c r="C101" s="1618"/>
      <c r="D101" s="1618"/>
      <c r="E101" s="1618"/>
      <c r="F101" s="1618"/>
      <c r="G101" s="1618"/>
      <c r="H101" s="1618"/>
      <c r="I101" s="1618"/>
      <c r="J101" s="1618"/>
    </row>
    <row r="102" spans="1:10" s="998" customFormat="1" ht="106.5" customHeight="1">
      <c r="A102" s="1567" t="s">
        <v>605</v>
      </c>
      <c r="B102" s="1631" t="s">
        <v>606</v>
      </c>
      <c r="C102" s="1613"/>
      <c r="D102" s="1613"/>
      <c r="E102" s="1613"/>
      <c r="F102" s="1613"/>
      <c r="G102" s="1613"/>
      <c r="H102" s="1613"/>
      <c r="I102" s="1613"/>
      <c r="J102" s="1613"/>
    </row>
    <row r="103" spans="1:10" s="998" customFormat="1" ht="72" customHeight="1">
      <c r="A103" s="1018"/>
      <c r="B103" s="1631" t="s">
        <v>316</v>
      </c>
      <c r="C103" s="1613"/>
      <c r="D103" s="1613"/>
      <c r="E103" s="1613"/>
      <c r="F103" s="1613"/>
      <c r="G103" s="1613"/>
      <c r="H103" s="1613"/>
      <c r="I103" s="1613"/>
      <c r="J103" s="1613"/>
    </row>
    <row r="104" spans="1:10" s="998" customFormat="1" ht="63" hidden="1" customHeight="1">
      <c r="A104" s="1017"/>
      <c r="B104" s="1631" t="s">
        <v>512</v>
      </c>
      <c r="C104" s="1613"/>
      <c r="D104" s="1613"/>
      <c r="E104" s="1613"/>
      <c r="F104" s="1613"/>
      <c r="G104" s="1613"/>
      <c r="H104" s="1613"/>
      <c r="I104" s="1613"/>
      <c r="J104" s="1613"/>
    </row>
    <row r="105" spans="1:10" s="998" customFormat="1" ht="5.25" customHeight="1">
      <c r="A105" s="1017"/>
      <c r="B105" s="1017"/>
    </row>
    <row r="106" spans="1:10" s="998" customFormat="1" ht="78" customHeight="1">
      <c r="A106" s="1017"/>
      <c r="B106" s="1618" t="s">
        <v>279</v>
      </c>
      <c r="C106" s="1618"/>
      <c r="D106" s="1618"/>
      <c r="E106" s="1618"/>
      <c r="F106" s="1618"/>
      <c r="G106" s="1618"/>
      <c r="H106" s="1618"/>
      <c r="I106" s="1618"/>
      <c r="J106" s="1618"/>
    </row>
    <row r="107" spans="1:10" s="998" customFormat="1" ht="3.75" customHeight="1">
      <c r="A107" s="1008"/>
      <c r="B107" s="1008"/>
    </row>
    <row r="108" spans="1:10" s="998" customFormat="1" ht="15.75">
      <c r="B108" s="1008" t="s">
        <v>350</v>
      </c>
    </row>
    <row r="109" spans="1:10" s="998" customFormat="1" ht="15.75">
      <c r="B109" s="1008" t="str">
        <f>'Ten '!A10</f>
        <v>C«ng ty Cæ phÇn §Çu t­ &amp; Th­¬ng m¹i DÇu KhÝ S«ng §µ</v>
      </c>
    </row>
    <row r="110" spans="1:10" s="998" customFormat="1" ht="9" customHeight="1">
      <c r="A110" s="1017"/>
      <c r="B110" s="1017"/>
    </row>
    <row r="111" spans="1:10" s="998" customFormat="1" hidden="1">
      <c r="A111" s="1017"/>
      <c r="B111" s="1017"/>
    </row>
    <row r="112" spans="1:10" s="998" customFormat="1" hidden="1">
      <c r="A112" s="1017"/>
      <c r="B112" s="1017"/>
    </row>
    <row r="113" spans="1:4" s="998" customFormat="1" hidden="1">
      <c r="A113" s="1017"/>
      <c r="B113" s="1017"/>
    </row>
    <row r="114" spans="1:4" s="998" customFormat="1" ht="10.5" customHeight="1">
      <c r="A114" s="1017"/>
      <c r="B114" s="1017"/>
    </row>
    <row r="115" spans="1:4" s="998" customFormat="1" ht="47.25" customHeight="1">
      <c r="A115" s="1017"/>
      <c r="B115" s="1017"/>
    </row>
    <row r="116" spans="1:4" s="998" customFormat="1" ht="15.75">
      <c r="A116" s="1019"/>
      <c r="B116" s="1020"/>
      <c r="C116" s="1007"/>
      <c r="D116" s="1007"/>
    </row>
    <row r="117" spans="1:4" s="998" customFormat="1" ht="15.75">
      <c r="A117" s="1004"/>
      <c r="B117" s="1008" t="str">
        <f>'Ten '!B14</f>
        <v>Tæng Gi¸m ®èc</v>
      </c>
    </row>
    <row r="118" spans="1:4" s="998" customFormat="1" ht="15.75">
      <c r="B118" s="1008" t="str">
        <f>'Ten '!B15</f>
        <v>Hoµng V¨n To¶n</v>
      </c>
    </row>
    <row r="119" spans="1:4" s="998" customFormat="1" ht="21.75" customHeight="1">
      <c r="B119" s="1021" t="str">
        <f>'Ten '!A19</f>
        <v>Hµ Néi, ngµy 30 th¸ng 07 n¨m 2013</v>
      </c>
    </row>
    <row r="120" spans="1:4" s="1016" customFormat="1"/>
    <row r="123" spans="1:4">
      <c r="A123" s="1022"/>
      <c r="B123" s="1023"/>
    </row>
    <row r="124" spans="1:4">
      <c r="A124" s="1022"/>
      <c r="B124" s="1023"/>
    </row>
    <row r="125" spans="1:4" s="254" customFormat="1">
      <c r="A125" s="1025"/>
      <c r="B125" s="1026"/>
    </row>
    <row r="126" spans="1:4" s="254" customFormat="1">
      <c r="A126" s="1025"/>
      <c r="B126" s="1026"/>
    </row>
    <row r="127" spans="1:4" s="254" customFormat="1" ht="16.5">
      <c r="A127" s="1027" t="s">
        <v>289</v>
      </c>
      <c r="B127" s="1028"/>
    </row>
    <row r="128" spans="1:4" s="1031" customFormat="1" ht="15.75">
      <c r="A128" s="1029" t="s">
        <v>343</v>
      </c>
      <c r="B128" s="1030"/>
    </row>
    <row r="129" spans="1:10" s="997" customFormat="1" ht="22.5" customHeight="1">
      <c r="A129" s="1585" t="s">
        <v>458</v>
      </c>
      <c r="B129" s="1585"/>
      <c r="C129" s="1585"/>
      <c r="D129" s="1585"/>
      <c r="E129" s="1585"/>
      <c r="F129" s="1585"/>
      <c r="G129" s="1585"/>
      <c r="H129" s="1585"/>
      <c r="I129" s="1585"/>
      <c r="J129" s="1585"/>
    </row>
    <row r="130" spans="1:10" s="268" customFormat="1" ht="21" customHeight="1">
      <c r="A130" s="1627" t="s">
        <v>1587</v>
      </c>
      <c r="B130" s="1627"/>
      <c r="C130" s="1627"/>
      <c r="D130" s="1627"/>
      <c r="E130" s="1627"/>
      <c r="F130" s="1627"/>
      <c r="G130" s="1627"/>
      <c r="H130" s="1627"/>
      <c r="I130" s="1627"/>
      <c r="J130" s="1627"/>
    </row>
    <row r="131" spans="1:10" s="268" customFormat="1" ht="18.75" customHeight="1">
      <c r="A131" s="1627" t="s">
        <v>1249</v>
      </c>
      <c r="B131" s="1627"/>
      <c r="C131" s="1627"/>
      <c r="D131" s="1627"/>
      <c r="E131" s="1627"/>
      <c r="F131" s="1627"/>
      <c r="G131" s="1627"/>
      <c r="H131" s="1627"/>
      <c r="I131" s="1627"/>
      <c r="J131" s="1627"/>
    </row>
    <row r="132" spans="1:10" s="1031" customFormat="1" ht="15.75">
      <c r="A132" s="1032"/>
      <c r="B132" s="1030"/>
    </row>
    <row r="133" spans="1:10" s="254" customFormat="1" ht="16.5">
      <c r="A133" s="1033" t="s">
        <v>567</v>
      </c>
      <c r="B133" s="1031"/>
      <c r="C133" s="1031"/>
      <c r="D133" s="1034" t="s">
        <v>1188</v>
      </c>
    </row>
    <row r="134" spans="1:10" s="254" customFormat="1" ht="16.5">
      <c r="B134" s="1026"/>
      <c r="D134" s="1034" t="str">
        <f>'Ten '!A10</f>
        <v>C«ng ty Cæ phÇn §Çu t­ &amp; Th­¬ng m¹i DÇu KhÝ S«ng §µ</v>
      </c>
    </row>
    <row r="135" spans="1:10" s="254" customFormat="1" ht="9" customHeight="1">
      <c r="B135" s="1026"/>
      <c r="D135" s="1034"/>
    </row>
    <row r="136" spans="1:10" s="254" customFormat="1" ht="87" customHeight="1">
      <c r="A136" s="1613" t="s">
        <v>42</v>
      </c>
      <c r="B136" s="1613"/>
      <c r="C136" s="1613"/>
      <c r="D136" s="1613"/>
      <c r="E136" s="1613"/>
      <c r="F136" s="1613"/>
      <c r="G136" s="1613"/>
      <c r="H136" s="1613"/>
      <c r="I136" s="1613"/>
      <c r="J136" s="1613"/>
    </row>
    <row r="137" spans="1:10" s="254" customFormat="1" ht="5.25" customHeight="1">
      <c r="A137" s="1168"/>
      <c r="B137" s="1168"/>
      <c r="C137" s="1168"/>
      <c r="D137" s="1168"/>
      <c r="E137" s="1168"/>
      <c r="F137" s="1168"/>
      <c r="G137" s="1168"/>
      <c r="H137" s="1168"/>
      <c r="I137" s="1168"/>
      <c r="J137" s="1168"/>
    </row>
    <row r="138" spans="1:10" s="254" customFormat="1" ht="45" customHeight="1">
      <c r="A138" s="1608" t="s">
        <v>1585</v>
      </c>
      <c r="B138" s="1608"/>
      <c r="C138" s="1608"/>
      <c r="D138" s="1608"/>
      <c r="E138" s="1608"/>
      <c r="F138" s="1608"/>
      <c r="G138" s="1608"/>
      <c r="H138" s="1608"/>
      <c r="I138" s="1608"/>
      <c r="J138" s="1608"/>
    </row>
    <row r="139" spans="1:10" s="254" customFormat="1" ht="6.75" customHeight="1">
      <c r="A139" s="1035"/>
      <c r="B139" s="1026"/>
    </row>
    <row r="140" spans="1:10" ht="102" customHeight="1">
      <c r="A140" s="1608" t="s">
        <v>280</v>
      </c>
      <c r="B140" s="1608"/>
      <c r="C140" s="1608"/>
      <c r="D140" s="1608"/>
      <c r="E140" s="1608"/>
      <c r="F140" s="1608"/>
      <c r="G140" s="1608"/>
      <c r="H140" s="1608"/>
      <c r="I140" s="1608"/>
      <c r="J140" s="1608"/>
    </row>
    <row r="141" spans="1:10" s="254" customFormat="1" ht="29.25" hidden="1" customHeight="1">
      <c r="A141" s="1620" t="s">
        <v>344</v>
      </c>
      <c r="B141" s="1620"/>
      <c r="C141" s="1620"/>
      <c r="D141" s="1620"/>
      <c r="E141" s="1620"/>
      <c r="F141" s="1620"/>
      <c r="G141" s="1620"/>
      <c r="H141" s="1620"/>
      <c r="I141" s="1620"/>
      <c r="J141" s="1620"/>
    </row>
    <row r="142" spans="1:10" s="254" customFormat="1" ht="6.75" hidden="1" customHeight="1">
      <c r="A142" s="995"/>
      <c r="B142" s="995"/>
      <c r="C142" s="995"/>
      <c r="D142" s="995"/>
      <c r="E142" s="995"/>
      <c r="F142" s="995"/>
      <c r="G142" s="995"/>
      <c r="H142" s="995"/>
      <c r="I142" s="995"/>
      <c r="J142" s="995"/>
    </row>
    <row r="143" spans="1:10" s="254" customFormat="1" ht="15.75" hidden="1">
      <c r="A143" s="1035" t="s">
        <v>345</v>
      </c>
      <c r="B143" s="1026"/>
    </row>
    <row r="144" spans="1:10" s="254" customFormat="1" ht="6" hidden="1" customHeight="1">
      <c r="A144" s="1025"/>
      <c r="B144" s="1026"/>
    </row>
    <row r="145" spans="1:10" s="254" customFormat="1" ht="45" hidden="1" customHeight="1">
      <c r="A145" s="1620" t="s">
        <v>346</v>
      </c>
      <c r="B145" s="1620"/>
      <c r="C145" s="1620"/>
      <c r="D145" s="1620"/>
      <c r="E145" s="1620"/>
      <c r="F145" s="1620"/>
      <c r="G145" s="1620"/>
      <c r="H145" s="1620"/>
      <c r="I145" s="1620"/>
      <c r="J145" s="1620"/>
    </row>
    <row r="146" spans="1:10" s="254" customFormat="1" ht="4.5" hidden="1" customHeight="1">
      <c r="A146" s="1025"/>
      <c r="B146" s="1026"/>
    </row>
    <row r="147" spans="1:10" s="254" customFormat="1" ht="29.25" hidden="1" customHeight="1">
      <c r="A147" s="1620" t="s">
        <v>347</v>
      </c>
      <c r="B147" s="1620"/>
      <c r="C147" s="1620"/>
      <c r="D147" s="1620"/>
      <c r="E147" s="1620"/>
      <c r="F147" s="1620"/>
      <c r="G147" s="1620"/>
      <c r="H147" s="1620"/>
      <c r="I147" s="1620"/>
      <c r="J147" s="1620"/>
    </row>
    <row r="148" spans="1:10" s="254" customFormat="1" hidden="1">
      <c r="A148" s="1025"/>
      <c r="B148" s="1026"/>
    </row>
    <row r="149" spans="1:10" s="254" customFormat="1" ht="0.75" customHeight="1">
      <c r="A149" s="1025"/>
      <c r="B149" s="1026"/>
    </row>
    <row r="150" spans="1:10" s="997" customFormat="1" ht="8.25" customHeight="1">
      <c r="A150" s="1629"/>
      <c r="B150" s="1630"/>
      <c r="C150" s="1630"/>
      <c r="D150" s="1630"/>
      <c r="E150" s="1630"/>
      <c r="F150" s="1630"/>
      <c r="G150" s="1630"/>
      <c r="H150" s="1630"/>
      <c r="I150" s="1630"/>
      <c r="J150" s="1630"/>
    </row>
    <row r="151" spans="1:10" s="254" customFormat="1" ht="3" customHeight="1">
      <c r="A151" s="1025"/>
      <c r="B151" s="1026"/>
    </row>
    <row r="152" spans="1:10" s="254" customFormat="1" ht="63.75" customHeight="1">
      <c r="A152" s="1612" t="s">
        <v>930</v>
      </c>
      <c r="B152" s="1612"/>
      <c r="C152" s="1612"/>
      <c r="D152" s="1612"/>
      <c r="E152" s="1612"/>
      <c r="F152" s="1612"/>
      <c r="G152" s="1612"/>
      <c r="H152" s="1612"/>
      <c r="I152" s="1612"/>
      <c r="J152" s="1612"/>
    </row>
    <row r="153" spans="1:10" s="254" customFormat="1" ht="33" customHeight="1">
      <c r="A153" s="1610" t="s">
        <v>1236</v>
      </c>
      <c r="B153" s="1610"/>
      <c r="C153" s="1610"/>
      <c r="D153" s="1610"/>
      <c r="E153" s="1610"/>
      <c r="F153" s="1610"/>
      <c r="G153" s="1610"/>
      <c r="H153" s="1610"/>
      <c r="I153" s="1610"/>
      <c r="J153" s="1610"/>
    </row>
    <row r="154" spans="1:10" s="254" customFormat="1" ht="84.75" customHeight="1">
      <c r="A154" s="1611" t="s">
        <v>1652</v>
      </c>
      <c r="B154" s="1612"/>
      <c r="C154" s="1612"/>
      <c r="D154" s="1612"/>
      <c r="E154" s="1612"/>
      <c r="F154" s="1612"/>
      <c r="G154" s="1612"/>
      <c r="H154" s="1612"/>
      <c r="I154" s="1612"/>
      <c r="J154" s="1612"/>
    </row>
    <row r="155" spans="1:10" s="254" customFormat="1" ht="82.5" hidden="1" customHeight="1">
      <c r="A155" s="1611" t="s">
        <v>513</v>
      </c>
      <c r="B155" s="1612"/>
      <c r="C155" s="1612"/>
      <c r="D155" s="1612"/>
      <c r="E155" s="1612"/>
      <c r="F155" s="1612"/>
      <c r="G155" s="1612"/>
      <c r="H155" s="1612"/>
      <c r="I155" s="1612"/>
      <c r="J155" s="1612"/>
    </row>
    <row r="156" spans="1:10" s="254" customFormat="1" ht="78.75" customHeight="1">
      <c r="A156" s="1611" t="s">
        <v>228</v>
      </c>
      <c r="B156" s="1612"/>
      <c r="C156" s="1612"/>
      <c r="D156" s="1612"/>
      <c r="E156" s="1612"/>
      <c r="F156" s="1612"/>
      <c r="G156" s="1612"/>
      <c r="H156" s="1612"/>
      <c r="I156" s="1612"/>
      <c r="J156" s="1612"/>
    </row>
    <row r="157" spans="1:10" s="254" customFormat="1" ht="78.75" customHeight="1">
      <c r="A157" s="1611" t="s">
        <v>552</v>
      </c>
      <c r="B157" s="1612"/>
      <c r="C157" s="1612"/>
      <c r="D157" s="1612"/>
      <c r="E157" s="1612"/>
      <c r="F157" s="1612"/>
      <c r="G157" s="1612"/>
      <c r="H157" s="1612"/>
      <c r="I157" s="1612"/>
      <c r="J157" s="1612"/>
    </row>
    <row r="158" spans="1:10" s="254" customFormat="1" ht="15.75">
      <c r="A158" s="1025"/>
      <c r="B158" s="1026"/>
      <c r="G158" s="1628" t="s">
        <v>229</v>
      </c>
      <c r="H158" s="1628"/>
      <c r="I158" s="1628"/>
      <c r="J158" s="1628"/>
    </row>
    <row r="159" spans="1:10" s="254" customFormat="1" ht="8.25" customHeight="1">
      <c r="A159" s="1025"/>
      <c r="B159" s="1026"/>
    </row>
    <row r="160" spans="1:10" s="380" customFormat="1" ht="32.25" customHeight="1">
      <c r="F160" s="1609" t="s">
        <v>406</v>
      </c>
      <c r="G160" s="1609"/>
      <c r="H160" s="1609"/>
      <c r="I160" s="1609"/>
      <c r="J160" s="1609"/>
    </row>
    <row r="161" spans="1:10" s="380" customFormat="1">
      <c r="A161" s="1607" t="s">
        <v>348</v>
      </c>
      <c r="B161" s="1607"/>
      <c r="C161" s="1607"/>
      <c r="D161" s="1607"/>
      <c r="E161" s="1607"/>
      <c r="F161" s="1607" t="s">
        <v>559</v>
      </c>
      <c r="G161" s="1607"/>
      <c r="H161" s="1607"/>
      <c r="I161" s="1607"/>
      <c r="J161" s="1607"/>
    </row>
    <row r="162" spans="1:10" s="380" customFormat="1" ht="10.5" customHeight="1">
      <c r="A162" s="1122"/>
      <c r="H162" s="1122"/>
    </row>
    <row r="163" spans="1:10" s="380" customFormat="1" ht="10.5" customHeight="1">
      <c r="A163" s="1122"/>
      <c r="H163" s="1122"/>
    </row>
    <row r="164" spans="1:10" s="380" customFormat="1" ht="10.5" customHeight="1">
      <c r="A164" s="1122"/>
      <c r="H164" s="1122"/>
    </row>
    <row r="165" spans="1:10" s="380" customFormat="1">
      <c r="A165" s="1123"/>
      <c r="H165" s="1122"/>
    </row>
    <row r="166" spans="1:10" s="380" customFormat="1" ht="14.25">
      <c r="A166" s="1122"/>
      <c r="H166" s="1122"/>
    </row>
    <row r="167" spans="1:10" s="380" customFormat="1" ht="14.25">
      <c r="A167" s="1122"/>
      <c r="H167" s="1122"/>
    </row>
    <row r="168" spans="1:10" s="380" customFormat="1">
      <c r="A168" s="1607" t="s">
        <v>186</v>
      </c>
      <c r="B168" s="1607"/>
      <c r="C168" s="1607"/>
      <c r="D168" s="1607"/>
      <c r="E168" s="1607"/>
      <c r="G168" s="1607" t="s">
        <v>113</v>
      </c>
      <c r="H168" s="1607"/>
      <c r="I168" s="1607"/>
    </row>
    <row r="169" spans="1:10" s="380" customFormat="1" ht="32.25" customHeight="1">
      <c r="A169" s="1606" t="s">
        <v>187</v>
      </c>
      <c r="B169" s="1606"/>
      <c r="C169" s="1606"/>
      <c r="D169" s="1606"/>
      <c r="E169" s="1606"/>
      <c r="F169" s="1606" t="s">
        <v>405</v>
      </c>
      <c r="G169" s="1606"/>
      <c r="H169" s="1606"/>
      <c r="I169" s="1606"/>
      <c r="J169" s="1606"/>
    </row>
    <row r="170" spans="1:10" ht="15.75">
      <c r="A170" s="1036"/>
      <c r="B170" s="1023"/>
    </row>
  </sheetData>
  <mergeCells count="54">
    <mergeCell ref="A152:J152"/>
    <mergeCell ref="A141:J141"/>
    <mergeCell ref="A145:J145"/>
    <mergeCell ref="B93:J93"/>
    <mergeCell ref="B102:J102"/>
    <mergeCell ref="B103:J103"/>
    <mergeCell ref="B101:J101"/>
    <mergeCell ref="B106:J106"/>
    <mergeCell ref="B99:J99"/>
    <mergeCell ref="B95:J95"/>
    <mergeCell ref="B97:J97"/>
    <mergeCell ref="B100:J100"/>
    <mergeCell ref="B104:J104"/>
    <mergeCell ref="A138:J138"/>
    <mergeCell ref="A130:J130"/>
    <mergeCell ref="A131:J131"/>
    <mergeCell ref="A136:J136"/>
    <mergeCell ref="A129:J129"/>
    <mergeCell ref="A1:J1"/>
    <mergeCell ref="A2:J2"/>
    <mergeCell ref="A3:J3"/>
    <mergeCell ref="A35:J35"/>
    <mergeCell ref="H31:J31"/>
    <mergeCell ref="B11:G11"/>
    <mergeCell ref="G49:J50"/>
    <mergeCell ref="B89:J89"/>
    <mergeCell ref="B91:J91"/>
    <mergeCell ref="G56:J57"/>
    <mergeCell ref="G55:J55"/>
    <mergeCell ref="G51:J52"/>
    <mergeCell ref="B85:J85"/>
    <mergeCell ref="A55:E55"/>
    <mergeCell ref="A37:J37"/>
    <mergeCell ref="G48:J48"/>
    <mergeCell ref="A44:J44"/>
    <mergeCell ref="A42:J42"/>
    <mergeCell ref="A40:J40"/>
    <mergeCell ref="A48:E48"/>
    <mergeCell ref="A169:E169"/>
    <mergeCell ref="F169:J169"/>
    <mergeCell ref="F161:J161"/>
    <mergeCell ref="A140:J140"/>
    <mergeCell ref="A161:E161"/>
    <mergeCell ref="F160:J160"/>
    <mergeCell ref="A168:E168"/>
    <mergeCell ref="G168:I168"/>
    <mergeCell ref="A153:J153"/>
    <mergeCell ref="A156:J156"/>
    <mergeCell ref="A147:J147"/>
    <mergeCell ref="A157:J157"/>
    <mergeCell ref="A154:J154"/>
    <mergeCell ref="A155:J155"/>
    <mergeCell ref="G158:J158"/>
    <mergeCell ref="A150:J150"/>
  </mergeCells>
  <phoneticPr fontId="36" type="noConversion"/>
  <pageMargins left="0.95" right="0.15" top="0.57999999999999996" bottom="0.7" header="0.28999999999999998" footer="0.38"/>
  <pageSetup paperSize="9" scale="96" orientation="portrait" useFirstPageNumber="1" r:id="rId1"/>
  <headerFooter alignWithMargins="0">
    <oddFooter>&amp;C&amp;10&amp;P</oddFooter>
  </headerFooter>
  <rowBreaks count="5" manualBreakCount="5">
    <brk id="29" max="16383" man="1"/>
    <brk id="81" max="16383" man="1"/>
    <brk id="106" max="16383" man="1"/>
    <brk id="119" max="16383" man="1"/>
    <brk id="156" max="9" man="1"/>
  </rowBreaks>
</worksheet>
</file>

<file path=xl/worksheets/sheet4.xml><?xml version="1.0" encoding="utf-8"?>
<worksheet xmlns="http://schemas.openxmlformats.org/spreadsheetml/2006/main" xmlns:r="http://schemas.openxmlformats.org/officeDocument/2006/relationships">
  <sheetPr codeName="Sheet4" enableFormatConditionsCalculation="0">
    <tabColor indexed="10"/>
  </sheetPr>
  <dimension ref="A1:J64"/>
  <sheetViews>
    <sheetView workbookViewId="0">
      <selection activeCell="A20" sqref="A20"/>
    </sheetView>
  </sheetViews>
  <sheetFormatPr defaultRowHeight="15"/>
  <cols>
    <col min="1" max="1" width="40.875" style="254" customWidth="1"/>
    <col min="2" max="2" width="8.5" style="254" customWidth="1"/>
    <col min="3" max="3" width="15.375" style="254" customWidth="1"/>
    <col min="4" max="4" width="17.375" style="254" bestFit="1" customWidth="1"/>
    <col min="5" max="5" width="16.375" style="254" customWidth="1"/>
    <col min="6" max="6" width="9.125" style="254" customWidth="1"/>
    <col min="7" max="7" width="11.125" style="253" bestFit="1" customWidth="1"/>
    <col min="8" max="8" width="14.75" style="253" bestFit="1" customWidth="1"/>
    <col min="9" max="9" width="9" style="277"/>
    <col min="10" max="16384" width="9" style="254"/>
  </cols>
  <sheetData>
    <row r="1" spans="1:9" customFormat="1">
      <c r="A1" s="6" t="s">
        <v>115</v>
      </c>
      <c r="G1" s="120"/>
      <c r="H1" s="120"/>
      <c r="I1" s="121"/>
    </row>
    <row r="2" spans="1:9" customFormat="1">
      <c r="A2" s="6" t="s">
        <v>114</v>
      </c>
      <c r="G2" s="120"/>
      <c r="H2" s="120"/>
      <c r="I2" s="121"/>
    </row>
    <row r="3" spans="1:9" customFormat="1">
      <c r="A3" s="6" t="s">
        <v>970</v>
      </c>
      <c r="G3" s="120"/>
      <c r="H3" s="120"/>
      <c r="I3" s="121"/>
    </row>
    <row r="4" spans="1:9" customFormat="1">
      <c r="A4" t="s">
        <v>116</v>
      </c>
      <c r="G4" s="120"/>
      <c r="H4" s="120"/>
      <c r="I4" s="121"/>
    </row>
    <row r="5" spans="1:9" customFormat="1">
      <c r="A5" t="s">
        <v>1496</v>
      </c>
      <c r="G5" s="120"/>
      <c r="H5" s="120"/>
      <c r="I5" s="121"/>
    </row>
    <row r="6" spans="1:9" customFormat="1">
      <c r="A6" t="s">
        <v>113</v>
      </c>
      <c r="G6" s="120"/>
      <c r="H6" s="120"/>
      <c r="I6" s="121"/>
    </row>
    <row r="7" spans="1:9" customFormat="1">
      <c r="G7" s="110"/>
      <c r="H7" s="120"/>
      <c r="I7" s="121"/>
    </row>
    <row r="8" spans="1:9" customFormat="1">
      <c r="G8" s="118"/>
      <c r="H8" s="120"/>
      <c r="I8" s="121"/>
    </row>
    <row r="9" spans="1:9" customFormat="1">
      <c r="G9" s="120"/>
      <c r="H9" s="120"/>
      <c r="I9" s="121"/>
    </row>
    <row r="10" spans="1:9" customFormat="1">
      <c r="A10" s="6" t="s">
        <v>1247</v>
      </c>
      <c r="G10" s="120"/>
      <c r="H10" s="120"/>
      <c r="I10" s="121"/>
    </row>
    <row r="11" spans="1:9" customFormat="1">
      <c r="A11" s="6" t="s">
        <v>886</v>
      </c>
      <c r="G11" s="120"/>
      <c r="H11" s="120"/>
      <c r="I11" s="121"/>
    </row>
    <row r="12" spans="1:9" customFormat="1" ht="15.75">
      <c r="A12" s="148"/>
      <c r="F12">
        <v>20</v>
      </c>
      <c r="G12" s="120">
        <v>5</v>
      </c>
      <c r="H12" s="120"/>
      <c r="I12" s="121"/>
    </row>
    <row r="13" spans="1:9" customFormat="1">
      <c r="F13">
        <v>30</v>
      </c>
      <c r="G13" s="120">
        <v>6</v>
      </c>
      <c r="H13" s="120"/>
      <c r="I13" s="121"/>
    </row>
    <row r="14" spans="1:9" customFormat="1" ht="15.75">
      <c r="A14" t="s">
        <v>707</v>
      </c>
      <c r="B14" s="6" t="s">
        <v>559</v>
      </c>
      <c r="C14" s="254"/>
      <c r="F14" s="50">
        <v>31</v>
      </c>
      <c r="G14" s="139">
        <v>7</v>
      </c>
      <c r="H14" s="140"/>
      <c r="I14" s="121"/>
    </row>
    <row r="15" spans="1:9" customFormat="1">
      <c r="A15" s="6" t="s">
        <v>1245</v>
      </c>
      <c r="B15" s="6" t="s">
        <v>1246</v>
      </c>
      <c r="C15" s="254"/>
      <c r="F15">
        <v>31</v>
      </c>
      <c r="G15" s="141">
        <v>0.08</v>
      </c>
      <c r="H15" s="120"/>
      <c r="I15" s="121"/>
    </row>
    <row r="16" spans="1:9" customFormat="1">
      <c r="F16">
        <v>30</v>
      </c>
      <c r="G16" s="141">
        <v>0.09</v>
      </c>
      <c r="H16" s="120"/>
      <c r="I16" s="121"/>
    </row>
    <row r="17" spans="1:10" customFormat="1" ht="15.75">
      <c r="A17" s="375"/>
      <c r="F17" s="50">
        <v>31</v>
      </c>
      <c r="G17" s="142">
        <v>0.1</v>
      </c>
      <c r="H17" s="113"/>
      <c r="I17" s="121"/>
    </row>
    <row r="18" spans="1:10" customFormat="1" ht="15.75">
      <c r="A18" s="375"/>
      <c r="F18">
        <v>30</v>
      </c>
      <c r="G18" s="120">
        <v>11</v>
      </c>
      <c r="H18" s="120"/>
      <c r="I18" s="121"/>
    </row>
    <row r="19" spans="1:10" customFormat="1">
      <c r="A19" s="6" t="s">
        <v>996</v>
      </c>
      <c r="F19">
        <v>31</v>
      </c>
      <c r="G19" s="120">
        <v>12</v>
      </c>
      <c r="H19" s="120"/>
      <c r="I19" s="121"/>
    </row>
    <row r="20" spans="1:10" customFormat="1">
      <c r="G20" s="120"/>
      <c r="H20" s="120"/>
      <c r="I20" s="121"/>
    </row>
    <row r="21" spans="1:10" customFormat="1" ht="15.75">
      <c r="A21" s="50" t="s">
        <v>1402</v>
      </c>
      <c r="G21" s="120"/>
      <c r="H21" s="120"/>
      <c r="I21" s="121"/>
    </row>
    <row r="22" spans="1:10" customFormat="1">
      <c r="G22" s="120"/>
      <c r="H22" s="120"/>
      <c r="I22" s="121"/>
    </row>
    <row r="23" spans="1:10" s="139" customFormat="1" ht="15.75">
      <c r="A23" s="278" t="s">
        <v>712</v>
      </c>
      <c r="B23" s="278" t="s">
        <v>500</v>
      </c>
      <c r="C23" s="278" t="s">
        <v>1505</v>
      </c>
      <c r="D23" s="278" t="s">
        <v>697</v>
      </c>
      <c r="G23" s="140"/>
      <c r="H23" s="140"/>
      <c r="I23" s="279"/>
    </row>
    <row r="24" spans="1:10" s="258" customFormat="1">
      <c r="A24" s="258" t="s">
        <v>501</v>
      </c>
      <c r="G24" s="259"/>
      <c r="H24" s="259"/>
      <c r="I24" s="260"/>
    </row>
    <row r="25" spans="1:10" s="258" customFormat="1">
      <c r="A25" s="289" t="s">
        <v>502</v>
      </c>
      <c r="G25" s="259"/>
      <c r="H25" s="259"/>
      <c r="I25" s="260"/>
    </row>
    <row r="26" spans="1:10" s="258" customFormat="1">
      <c r="A26" s="289" t="s">
        <v>85</v>
      </c>
      <c r="B26" s="258" t="s">
        <v>103</v>
      </c>
      <c r="G26" s="259"/>
      <c r="H26" s="259"/>
      <c r="I26" s="260"/>
    </row>
    <row r="27" spans="1:10" s="258" customFormat="1">
      <c r="A27" s="289" t="s">
        <v>86</v>
      </c>
      <c r="B27" s="258" t="s">
        <v>103</v>
      </c>
      <c r="G27" s="259"/>
      <c r="H27" s="259"/>
      <c r="I27" s="260"/>
    </row>
    <row r="28" spans="1:10" s="258" customFormat="1">
      <c r="G28" s="259"/>
      <c r="H28" s="259"/>
      <c r="I28" s="260"/>
    </row>
    <row r="29" spans="1:10">
      <c r="A29" s="258" t="s">
        <v>87</v>
      </c>
    </row>
    <row r="30" spans="1:10">
      <c r="A30" s="258" t="s">
        <v>88</v>
      </c>
      <c r="B30" s="254" t="s">
        <v>103</v>
      </c>
    </row>
    <row r="31" spans="1:10">
      <c r="A31" s="258" t="s">
        <v>89</v>
      </c>
      <c r="B31" s="254" t="s">
        <v>103</v>
      </c>
    </row>
    <row r="32" spans="1:10" s="258" customFormat="1">
      <c r="E32" s="261"/>
      <c r="F32" s="261"/>
      <c r="G32" s="262"/>
      <c r="H32" s="262"/>
      <c r="I32" s="263"/>
      <c r="J32" s="261"/>
    </row>
    <row r="33" spans="1:10" s="258" customFormat="1">
      <c r="A33" s="258" t="s">
        <v>90</v>
      </c>
      <c r="E33" s="261"/>
      <c r="F33" s="261"/>
      <c r="G33" s="262"/>
      <c r="H33" s="262"/>
      <c r="I33" s="263"/>
      <c r="J33" s="261"/>
    </row>
    <row r="34" spans="1:10" s="268" customFormat="1" ht="15.75">
      <c r="A34" s="258" t="s">
        <v>91</v>
      </c>
      <c r="B34" s="268" t="s">
        <v>104</v>
      </c>
      <c r="E34" s="261"/>
      <c r="F34" s="264"/>
      <c r="G34" s="265"/>
      <c r="H34" s="265"/>
      <c r="I34" s="266"/>
      <c r="J34" s="267"/>
    </row>
    <row r="35" spans="1:10" s="268" customFormat="1">
      <c r="A35" s="258" t="s">
        <v>92</v>
      </c>
      <c r="B35" s="268" t="s">
        <v>104</v>
      </c>
      <c r="E35" s="267"/>
      <c r="F35" s="267"/>
      <c r="G35" s="269"/>
      <c r="H35" s="269"/>
      <c r="I35" s="266"/>
      <c r="J35" s="267"/>
    </row>
    <row r="36" spans="1:10" s="268" customFormat="1">
      <c r="A36" s="258" t="s">
        <v>94</v>
      </c>
      <c r="B36" s="268" t="s">
        <v>104</v>
      </c>
      <c r="E36" s="267"/>
      <c r="F36" s="267"/>
      <c r="G36" s="269"/>
      <c r="H36" s="269"/>
      <c r="I36" s="266"/>
      <c r="J36" s="267"/>
    </row>
    <row r="37" spans="1:10" s="268" customFormat="1" ht="15.75">
      <c r="E37" s="267"/>
      <c r="F37" s="264"/>
      <c r="G37" s="270"/>
      <c r="H37" s="270"/>
      <c r="I37" s="266"/>
      <c r="J37" s="267"/>
    </row>
    <row r="38" spans="1:10" s="268" customFormat="1">
      <c r="A38" s="268" t="s">
        <v>95</v>
      </c>
      <c r="E38" s="267"/>
      <c r="F38" s="267"/>
      <c r="G38" s="257"/>
      <c r="H38" s="257"/>
      <c r="I38" s="266"/>
      <c r="J38" s="267"/>
    </row>
    <row r="39" spans="1:10" s="268" customFormat="1">
      <c r="A39" s="268" t="s">
        <v>96</v>
      </c>
      <c r="E39" s="267"/>
      <c r="F39" s="267"/>
      <c r="G39" s="257"/>
      <c r="H39" s="257"/>
      <c r="I39" s="266"/>
      <c r="J39" s="267"/>
    </row>
    <row r="40" spans="1:10" s="268" customFormat="1">
      <c r="A40" s="268" t="s">
        <v>97</v>
      </c>
      <c r="B40" s="254" t="s">
        <v>103</v>
      </c>
      <c r="E40" s="267"/>
      <c r="F40" s="267"/>
      <c r="G40" s="257"/>
      <c r="H40" s="257"/>
      <c r="I40" s="266"/>
      <c r="J40" s="267"/>
    </row>
    <row r="41" spans="1:10" s="268" customFormat="1">
      <c r="A41" s="268" t="s">
        <v>98</v>
      </c>
      <c r="B41" s="254" t="s">
        <v>103</v>
      </c>
      <c r="E41" s="267"/>
      <c r="F41" s="267"/>
      <c r="G41" s="257"/>
      <c r="H41" s="257"/>
      <c r="I41" s="266"/>
      <c r="J41" s="267"/>
    </row>
    <row r="42" spans="1:10" s="268" customFormat="1">
      <c r="E42" s="267"/>
      <c r="F42" s="267"/>
      <c r="G42" s="257"/>
      <c r="H42" s="257"/>
      <c r="I42" s="266"/>
      <c r="J42" s="267"/>
    </row>
    <row r="43" spans="1:10" s="268" customFormat="1" ht="15.75">
      <c r="A43" s="268" t="s">
        <v>99</v>
      </c>
      <c r="E43" s="267"/>
      <c r="F43" s="264"/>
      <c r="G43" s="257"/>
      <c r="H43" s="257"/>
      <c r="I43" s="266"/>
      <c r="J43" s="267"/>
    </row>
    <row r="44" spans="1:10" ht="15.75">
      <c r="A44" s="268" t="s">
        <v>100</v>
      </c>
      <c r="B44" s="254" t="s">
        <v>103</v>
      </c>
      <c r="E44" s="267"/>
      <c r="F44" s="271"/>
      <c r="G44" s="272"/>
      <c r="H44" s="272"/>
      <c r="I44" s="273"/>
      <c r="J44" s="274"/>
    </row>
    <row r="45" spans="1:10">
      <c r="A45" s="268" t="s">
        <v>101</v>
      </c>
      <c r="B45" s="254" t="s">
        <v>103</v>
      </c>
      <c r="E45" s="274"/>
      <c r="F45" s="274"/>
      <c r="G45" s="256"/>
      <c r="H45" s="256"/>
      <c r="I45" s="273"/>
      <c r="J45" s="274"/>
    </row>
    <row r="46" spans="1:10">
      <c r="E46" s="274"/>
      <c r="F46" s="274"/>
      <c r="G46" s="256"/>
      <c r="H46" s="256"/>
      <c r="I46" s="273"/>
      <c r="J46" s="274"/>
    </row>
    <row r="47" spans="1:10">
      <c r="A47" s="254" t="s">
        <v>102</v>
      </c>
      <c r="B47" s="254" t="s">
        <v>103</v>
      </c>
      <c r="C47" s="254" t="s">
        <v>1400</v>
      </c>
      <c r="D47" s="254" t="s">
        <v>1399</v>
      </c>
      <c r="E47" s="274" t="s">
        <v>1401</v>
      </c>
      <c r="F47" s="274"/>
      <c r="G47" s="256"/>
      <c r="H47" s="256"/>
      <c r="I47" s="273"/>
      <c r="J47" s="274"/>
    </row>
    <row r="48" spans="1:10" ht="15.75">
      <c r="C48" s="1106">
        <v>16758740000</v>
      </c>
      <c r="D48" s="1106">
        <v>20328950000</v>
      </c>
      <c r="E48" s="1106">
        <v>30999390000</v>
      </c>
      <c r="F48" s="275"/>
      <c r="G48" s="276"/>
      <c r="H48" s="276"/>
      <c r="I48" s="273"/>
      <c r="J48" s="274"/>
    </row>
    <row r="49" spans="1:10">
      <c r="E49" s="274"/>
      <c r="F49" s="274"/>
      <c r="G49" s="256"/>
      <c r="H49" s="256"/>
      <c r="I49" s="273"/>
      <c r="J49" s="274"/>
    </row>
    <row r="52" spans="1:10" s="50" customFormat="1" ht="15.75">
      <c r="A52" s="50" t="s">
        <v>1326</v>
      </c>
      <c r="C52" s="139" t="s">
        <v>450</v>
      </c>
      <c r="D52" s="139" t="s">
        <v>451</v>
      </c>
      <c r="E52" s="139" t="s">
        <v>452</v>
      </c>
      <c r="G52" s="113"/>
      <c r="H52" s="113"/>
      <c r="I52" s="292"/>
    </row>
    <row r="53" spans="1:10">
      <c r="A53" s="254" t="s">
        <v>447</v>
      </c>
      <c r="C53" s="253"/>
      <c r="D53" s="253">
        <f>C53</f>
        <v>0</v>
      </c>
      <c r="E53" s="291" t="e">
        <f>D53/C53</f>
        <v>#DIV/0!</v>
      </c>
    </row>
    <row r="54" spans="1:10">
      <c r="A54" s="254" t="s">
        <v>448</v>
      </c>
      <c r="C54" s="253"/>
      <c r="D54" s="253">
        <f>C54</f>
        <v>0</v>
      </c>
      <c r="E54" s="291" t="e">
        <f>D54/C54</f>
        <v>#DIV/0!</v>
      </c>
    </row>
    <row r="55" spans="1:10">
      <c r="A55" s="254" t="s">
        <v>449</v>
      </c>
      <c r="C55" s="253"/>
      <c r="D55" s="253">
        <f>C55</f>
        <v>0</v>
      </c>
      <c r="E55" s="291" t="e">
        <f>D55/C55</f>
        <v>#DIV/0!</v>
      </c>
    </row>
    <row r="56" spans="1:10">
      <c r="A56" s="254" t="s">
        <v>1558</v>
      </c>
      <c r="C56" s="253"/>
      <c r="D56" s="253">
        <f>C56</f>
        <v>0</v>
      </c>
      <c r="E56" s="291" t="e">
        <f>D56/C56</f>
        <v>#DIV/0!</v>
      </c>
    </row>
    <row r="57" spans="1:10">
      <c r="A57" s="254" t="s">
        <v>1562</v>
      </c>
      <c r="D57" s="253">
        <f>C57</f>
        <v>0</v>
      </c>
      <c r="E57" s="291" t="e">
        <f>D57/C57</f>
        <v>#DIV/0!</v>
      </c>
    </row>
    <row r="58" spans="1:10">
      <c r="E58" s="291"/>
    </row>
    <row r="59" spans="1:10">
      <c r="E59" s="291"/>
    </row>
    <row r="61" spans="1:10">
      <c r="A61" s="1105" t="s">
        <v>333</v>
      </c>
      <c r="B61" s="349"/>
      <c r="C61" s="1106">
        <v>16758740000</v>
      </c>
      <c r="D61" s="1106">
        <v>365</v>
      </c>
      <c r="E61">
        <f>C61*D61</f>
        <v>6116940100000</v>
      </c>
    </row>
    <row r="62" spans="1:10">
      <c r="A62" s="1105"/>
      <c r="B62" s="349"/>
      <c r="C62" s="1106">
        <v>3570210000</v>
      </c>
      <c r="D62" s="1106">
        <f>D61-90</f>
        <v>275</v>
      </c>
      <c r="E62">
        <f>C62*D62</f>
        <v>981807750000</v>
      </c>
    </row>
    <row r="63" spans="1:10">
      <c r="A63" s="1105"/>
      <c r="B63" s="349"/>
      <c r="C63" s="1106">
        <v>3252020000</v>
      </c>
      <c r="D63" s="1106"/>
      <c r="E63">
        <f>E61+E62</f>
        <v>7098747850000</v>
      </c>
    </row>
    <row r="64" spans="1:10">
      <c r="A64" s="1105"/>
      <c r="B64" s="349"/>
      <c r="C64" s="1106"/>
      <c r="D64" s="1106"/>
      <c r="E64">
        <f>E63/365</f>
        <v>19448624246.575298</v>
      </c>
    </row>
  </sheetData>
  <phoneticPr fontId="0" type="noConversion"/>
  <pageMargins left="0.75" right="0.75" top="1" bottom="1" header="0.5" footer="0.5"/>
  <pageSetup orientation="portrait" r:id="rId1"/>
  <headerFooter alignWithMargins="0"/>
</worksheet>
</file>

<file path=xl/worksheets/sheet40.xml><?xml version="1.0" encoding="utf-8"?>
<worksheet xmlns="http://schemas.openxmlformats.org/spreadsheetml/2006/main" xmlns:r="http://schemas.openxmlformats.org/officeDocument/2006/relationships">
  <sheetPr transitionEvaluation="1" transitionEntry="1" codeName="Sheet10" enableFormatConditionsCalculation="0">
    <tabColor indexed="33"/>
  </sheetPr>
  <dimension ref="A1:AC223"/>
  <sheetViews>
    <sheetView view="pageBreakPreview" workbookViewId="0">
      <pane xSplit="2" ySplit="10" topLeftCell="E94" activePane="bottomRight" state="frozen"/>
      <selection activeCell="H59" sqref="H59"/>
      <selection pane="topRight" activeCell="H59" sqref="H59"/>
      <selection pane="bottomLeft" activeCell="H59" sqref="H59"/>
      <selection pane="bottomRight" activeCell="L111" sqref="L111"/>
    </sheetView>
  </sheetViews>
  <sheetFormatPr defaultRowHeight="14.25"/>
  <cols>
    <col min="1" max="1" width="36.5" style="393" customWidth="1"/>
    <col min="2" max="2" width="1.875" style="394" customWidth="1"/>
    <col min="3" max="3" width="5" style="376" customWidth="1"/>
    <col min="4" max="4" width="1" style="394" customWidth="1"/>
    <col min="5" max="5" width="6.75" style="376" customWidth="1"/>
    <col min="6" max="6" width="0.875" style="376" customWidth="1"/>
    <col min="7" max="7" width="9.625" style="376" hidden="1" customWidth="1"/>
    <col min="8" max="8" width="17.375" style="377" hidden="1" customWidth="1"/>
    <col min="9" max="9" width="0.875" style="377" hidden="1" customWidth="1"/>
    <col min="10" max="10" width="17.125" style="377" hidden="1" customWidth="1"/>
    <col min="11" max="11" width="0.875" style="394" hidden="1" customWidth="1"/>
    <col min="12" max="12" width="17.25" style="377" customWidth="1"/>
    <col min="13" max="13" width="1" style="377" customWidth="1"/>
    <col min="14" max="14" width="17.25" style="377" customWidth="1"/>
    <col min="15" max="15" width="5.5" style="379" customWidth="1"/>
    <col min="16" max="16" width="18.25" style="987" bestFit="1" customWidth="1"/>
    <col min="17" max="17" width="18.25" style="381" bestFit="1" customWidth="1"/>
    <col min="18" max="19" width="17.375" style="381" bestFit="1" customWidth="1"/>
    <col min="20" max="20" width="17" style="381" bestFit="1" customWidth="1"/>
    <col min="21" max="21" width="16.125" style="381" bestFit="1" customWidth="1"/>
    <col min="22" max="22" width="16.625" style="381" bestFit="1" customWidth="1"/>
    <col min="23" max="23" width="16.125" style="381" bestFit="1" customWidth="1"/>
    <col min="24" max="24" width="15" style="381" bestFit="1" customWidth="1"/>
    <col min="25" max="25" width="17.125" style="381" bestFit="1" customWidth="1"/>
    <col min="26" max="26" width="16" style="381" bestFit="1" customWidth="1"/>
    <col min="27" max="29" width="14.375" style="381" customWidth="1"/>
    <col min="30" max="16384" width="9" style="380"/>
  </cols>
  <sheetData>
    <row r="1" spans="1:29" s="779" customFormat="1" ht="19.5" customHeight="1">
      <c r="A1" s="1290" t="str">
        <f>'Ten '!A10</f>
        <v>C«ng ty Cæ phÇn §Çu t­ &amp; Th­¬ng m¹i DÇu KhÝ S«ng §µ</v>
      </c>
      <c r="B1" s="780"/>
      <c r="C1" s="781"/>
      <c r="D1" s="780"/>
      <c r="E1" s="781"/>
      <c r="F1" s="781"/>
      <c r="G1" s="781"/>
      <c r="H1" s="782"/>
      <c r="I1" s="782"/>
      <c r="J1" s="782"/>
      <c r="K1" s="780"/>
      <c r="L1" s="783"/>
      <c r="M1" s="784"/>
      <c r="O1" s="785"/>
      <c r="P1" s="986">
        <f>L89+L77</f>
        <v>206857127968</v>
      </c>
      <c r="Q1" s="782">
        <f>-24134851215+17000000000</f>
        <v>-7134851215</v>
      </c>
      <c r="R1" s="782"/>
      <c r="S1" s="782"/>
      <c r="T1" s="782"/>
      <c r="U1" s="782"/>
      <c r="V1" s="782"/>
      <c r="W1" s="782"/>
      <c r="X1" s="782"/>
      <c r="Y1" s="782"/>
      <c r="Z1" s="782"/>
      <c r="AA1" s="782"/>
      <c r="AB1" s="782"/>
      <c r="AC1" s="782"/>
    </row>
    <row r="2" spans="1:29" s="386" customFormat="1" ht="15">
      <c r="A2" s="1170" t="str">
        <f>'Ten '!A11</f>
        <v>§Þa chØ: TÇng 4, CT3, tßa nhµ Fodacon, ®­êng TrÇn Phó</v>
      </c>
      <c r="B2" s="382"/>
      <c r="C2" s="383"/>
      <c r="D2" s="382"/>
      <c r="E2" s="383"/>
      <c r="F2" s="383"/>
      <c r="G2" s="383"/>
      <c r="H2" s="384"/>
      <c r="I2" s="384"/>
      <c r="J2" s="384"/>
      <c r="K2" s="382"/>
      <c r="L2" s="385"/>
      <c r="M2" s="384"/>
      <c r="N2" s="1548" t="s">
        <v>654</v>
      </c>
      <c r="O2" s="379"/>
      <c r="P2" s="1572">
        <f>P3-Q3</f>
        <v>542722875</v>
      </c>
      <c r="Q2" s="592"/>
      <c r="R2" s="387"/>
      <c r="S2" s="387"/>
      <c r="T2" s="387"/>
      <c r="U2" s="387"/>
      <c r="V2" s="387"/>
      <c r="W2" s="387"/>
      <c r="X2" s="387"/>
      <c r="Y2" s="387"/>
      <c r="Z2" s="387"/>
      <c r="AA2" s="387"/>
      <c r="AB2" s="387"/>
      <c r="AC2" s="387"/>
    </row>
    <row r="3" spans="1:29" ht="15">
      <c r="A3" s="1279" t="s">
        <v>887</v>
      </c>
      <c r="B3" s="388"/>
      <c r="C3" s="389"/>
      <c r="D3" s="388"/>
      <c r="E3" s="389"/>
      <c r="F3" s="389"/>
      <c r="G3" s="389"/>
      <c r="H3" s="390"/>
      <c r="I3" s="390"/>
      <c r="J3" s="390"/>
      <c r="K3" s="388"/>
      <c r="L3" s="391"/>
      <c r="M3" s="392"/>
      <c r="N3" s="1549" t="s">
        <v>1381</v>
      </c>
      <c r="P3" s="987">
        <v>723630500</v>
      </c>
      <c r="Q3" s="381">
        <f>25*P3/100</f>
        <v>180907625</v>
      </c>
      <c r="R3" s="381">
        <f>P3-Q3</f>
        <v>542722875</v>
      </c>
    </row>
    <row r="4" spans="1:29" ht="2.25" customHeight="1">
      <c r="H4" s="395"/>
      <c r="I4" s="395"/>
      <c r="J4" s="395"/>
      <c r="L4" s="395"/>
      <c r="N4" s="395"/>
    </row>
    <row r="5" spans="1:29" ht="21" customHeight="1">
      <c r="A5" s="1634" t="s">
        <v>290</v>
      </c>
      <c r="B5" s="1635"/>
      <c r="C5" s="1635"/>
      <c r="D5" s="1635"/>
      <c r="E5" s="1635"/>
      <c r="F5" s="1635"/>
      <c r="G5" s="1635"/>
      <c r="H5" s="1635"/>
      <c r="I5" s="1635"/>
      <c r="J5" s="1635"/>
      <c r="K5" s="1635"/>
      <c r="L5" s="1635"/>
      <c r="M5" s="1635"/>
      <c r="N5" s="1635"/>
      <c r="P5" s="987">
        <f>N77+N93-L93-L77</f>
        <v>21191868580</v>
      </c>
      <c r="Q5" s="381" t="e">
        <f>L78-#REF!</f>
        <v>#REF!</v>
      </c>
    </row>
    <row r="6" spans="1:29" ht="18">
      <c r="A6" s="1643" t="s">
        <v>1442</v>
      </c>
      <c r="B6" s="1637"/>
      <c r="C6" s="1643"/>
      <c r="D6" s="1643"/>
      <c r="E6" s="1643"/>
      <c r="F6" s="1643"/>
      <c r="G6" s="1643"/>
      <c r="H6" s="1643"/>
      <c r="I6" s="1643"/>
      <c r="J6" s="1643"/>
      <c r="K6" s="1643"/>
      <c r="L6" s="1643"/>
      <c r="M6" s="1643"/>
      <c r="N6" s="1643"/>
      <c r="P6" s="987">
        <f>L12-N12</f>
        <v>0</v>
      </c>
      <c r="Q6" s="381">
        <f>L19-L25</f>
        <v>384732252426</v>
      </c>
      <c r="R6" s="1145"/>
    </row>
    <row r="7" spans="1:29" ht="18">
      <c r="A7" s="1636" t="str">
        <f>'Ten '!A1</f>
        <v>T¹i ngµy 30 th¸ng 06 n¨m 2013</v>
      </c>
      <c r="B7" s="1637"/>
      <c r="C7" s="1636"/>
      <c r="D7" s="1636"/>
      <c r="E7" s="1636"/>
      <c r="F7" s="1636"/>
      <c r="G7" s="1636"/>
      <c r="H7" s="1636"/>
      <c r="I7" s="1636"/>
      <c r="J7" s="1636"/>
      <c r="K7" s="1636"/>
      <c r="L7" s="1636"/>
      <c r="M7" s="1636"/>
      <c r="N7" s="1636"/>
      <c r="P7" s="987">
        <f>L13-N13</f>
        <v>1066037389</v>
      </c>
      <c r="Q7" s="381">
        <f>764630500*25/100</f>
        <v>191157625</v>
      </c>
      <c r="R7" s="1145"/>
    </row>
    <row r="8" spans="1:29" ht="18" customHeight="1">
      <c r="L8" s="398"/>
      <c r="N8" s="1104" t="s">
        <v>971</v>
      </c>
      <c r="R8" s="381">
        <f>764630500-Q7</f>
        <v>573472875</v>
      </c>
    </row>
    <row r="9" spans="1:29" s="411" customFormat="1" ht="28.5" customHeight="1">
      <c r="A9" s="400" t="s">
        <v>258</v>
      </c>
      <c r="B9" s="401"/>
      <c r="C9" s="402" t="s">
        <v>259</v>
      </c>
      <c r="D9" s="401"/>
      <c r="E9" s="402" t="s">
        <v>260</v>
      </c>
      <c r="F9" s="403"/>
      <c r="G9" s="402" t="s">
        <v>1270</v>
      </c>
      <c r="H9" s="404" t="s">
        <v>865</v>
      </c>
      <c r="I9" s="405"/>
      <c r="J9" s="406" t="s">
        <v>770</v>
      </c>
      <c r="K9" s="401"/>
      <c r="L9" s="409" t="s">
        <v>637</v>
      </c>
      <c r="M9" s="408"/>
      <c r="N9" s="409" t="s">
        <v>256</v>
      </c>
      <c r="O9" s="410"/>
      <c r="P9" s="988"/>
      <c r="Q9" s="412" t="s">
        <v>560</v>
      </c>
      <c r="R9" s="413" t="s">
        <v>561</v>
      </c>
      <c r="S9" s="414" t="s">
        <v>562</v>
      </c>
      <c r="T9" s="415" t="s">
        <v>563</v>
      </c>
      <c r="U9" s="412" t="s">
        <v>564</v>
      </c>
      <c r="V9" s="416"/>
      <c r="W9" s="417"/>
      <c r="X9" s="417"/>
      <c r="Y9" s="418"/>
      <c r="Z9" s="418"/>
      <c r="AA9" s="418"/>
      <c r="AB9" s="418"/>
      <c r="AC9" s="418"/>
    </row>
    <row r="10" spans="1:29" s="427" customFormat="1" ht="18" customHeight="1">
      <c r="A10" s="419">
        <v>1</v>
      </c>
      <c r="B10" s="420"/>
      <c r="C10" s="421">
        <v>2</v>
      </c>
      <c r="D10" s="420"/>
      <c r="E10" s="419">
        <v>3</v>
      </c>
      <c r="F10" s="422"/>
      <c r="G10" s="419"/>
      <c r="H10" s="423" t="s">
        <v>1498</v>
      </c>
      <c r="I10" s="424"/>
      <c r="J10" s="425" t="s">
        <v>1504</v>
      </c>
      <c r="K10" s="422"/>
      <c r="L10" s="425" t="s">
        <v>1504</v>
      </c>
      <c r="M10" s="424"/>
      <c r="N10" s="425">
        <v>5</v>
      </c>
      <c r="O10" s="426" t="s">
        <v>1528</v>
      </c>
      <c r="P10" s="989"/>
      <c r="Q10" s="428"/>
      <c r="R10" s="428"/>
      <c r="S10" s="428"/>
      <c r="T10" s="428"/>
      <c r="U10" s="428"/>
      <c r="V10" s="428"/>
      <c r="W10" s="428"/>
      <c r="X10" s="428"/>
      <c r="Y10" s="428"/>
      <c r="Z10" s="428"/>
      <c r="AA10" s="428"/>
      <c r="AB10" s="428"/>
      <c r="AC10" s="428"/>
    </row>
    <row r="11" spans="1:29" s="433" customFormat="1" ht="18.75" customHeight="1">
      <c r="A11" s="429" t="s">
        <v>261</v>
      </c>
      <c r="B11" s="430"/>
      <c r="C11" s="431">
        <v>100</v>
      </c>
      <c r="D11" s="430"/>
      <c r="E11" s="431"/>
      <c r="F11" s="431"/>
      <c r="G11" s="431"/>
      <c r="H11" s="432">
        <f>H13+H16+H19+H27+H31</f>
        <v>441204865337</v>
      </c>
      <c r="I11" s="432"/>
      <c r="J11" s="432">
        <f ca="1">J13+J16+J19+J27+J31</f>
        <v>0</v>
      </c>
      <c r="K11" s="430"/>
      <c r="L11" s="432">
        <f>L13+L16+L19+L27+L31</f>
        <v>537620994679</v>
      </c>
      <c r="M11" s="432"/>
      <c r="N11" s="432">
        <f>N13+N16+N19+N27+N31</f>
        <v>448378297689</v>
      </c>
      <c r="O11" s="426" t="str">
        <f>IF(OR(L11&lt;&gt;0,N11&lt;&gt;0),"print","")</f>
        <v>print</v>
      </c>
      <c r="P11" s="1139">
        <f t="shared" ref="P11:U11" si="0">P13+P16+P19+P27+P31</f>
        <v>53299767082</v>
      </c>
      <c r="Q11" s="432">
        <f t="shared" si="0"/>
        <v>52288221503</v>
      </c>
      <c r="R11" s="432">
        <f t="shared" si="0"/>
        <v>-8824217234</v>
      </c>
      <c r="S11" s="432">
        <f t="shared" si="0"/>
        <v>4933914267</v>
      </c>
      <c r="T11" s="432">
        <f t="shared" si="0"/>
        <v>622937568</v>
      </c>
      <c r="U11" s="432">
        <f t="shared" si="0"/>
        <v>4278910978</v>
      </c>
      <c r="V11" s="434"/>
      <c r="W11" s="434"/>
      <c r="X11" s="432"/>
      <c r="Y11" s="434"/>
      <c r="Z11" s="435"/>
      <c r="AA11" s="434"/>
      <c r="AB11" s="434"/>
      <c r="AC11" s="434"/>
    </row>
    <row r="12" spans="1:29" s="433" customFormat="1" ht="2.25" customHeight="1">
      <c r="A12" s="429"/>
      <c r="B12" s="430"/>
      <c r="C12" s="431"/>
      <c r="D12" s="430"/>
      <c r="E12" s="431"/>
      <c r="F12" s="431"/>
      <c r="G12" s="431"/>
      <c r="H12" s="432"/>
      <c r="I12" s="432"/>
      <c r="J12" s="432"/>
      <c r="K12" s="430"/>
      <c r="L12" s="432"/>
      <c r="M12" s="432"/>
      <c r="N12" s="432"/>
      <c r="O12" s="426" t="s">
        <v>1528</v>
      </c>
      <c r="P12" s="1139"/>
      <c r="Q12" s="432"/>
      <c r="R12" s="432"/>
      <c r="S12" s="432"/>
      <c r="T12" s="432"/>
      <c r="U12" s="432"/>
      <c r="V12" s="434"/>
      <c r="W12" s="434"/>
      <c r="X12" s="432"/>
      <c r="Y12" s="434"/>
      <c r="Z12" s="435"/>
      <c r="AA12" s="434"/>
      <c r="AB12" s="434"/>
      <c r="AC12" s="434"/>
    </row>
    <row r="13" spans="1:29" s="440" customFormat="1" ht="18" customHeight="1">
      <c r="A13" s="436" t="s">
        <v>262</v>
      </c>
      <c r="B13" s="1370"/>
      <c r="C13" s="438">
        <v>110</v>
      </c>
      <c r="D13" s="437"/>
      <c r="E13" s="438"/>
      <c r="F13" s="438"/>
      <c r="G13" s="438"/>
      <c r="H13" s="439">
        <f>SUM(H14:H15)</f>
        <v>40665817492</v>
      </c>
      <c r="I13" s="439"/>
      <c r="J13" s="439">
        <f ca="1">SUM(J14:J15)</f>
        <v>0</v>
      </c>
      <c r="K13" s="437"/>
      <c r="L13" s="439">
        <f>SUM(L14:L15)</f>
        <v>28654144126</v>
      </c>
      <c r="M13" s="439"/>
      <c r="N13" s="439">
        <f>SUM(N14:N15)</f>
        <v>27588106737</v>
      </c>
      <c r="O13" s="426" t="str">
        <f t="shared" ref="O13:O70" si="1">IF(OR(L13&lt;&gt;0,N13&lt;&gt;0),"print","")</f>
        <v>print</v>
      </c>
      <c r="P13" s="1140">
        <f t="shared" ref="P13:U13" si="2">SUM(P14:P15)</f>
        <v>417478231</v>
      </c>
      <c r="Q13" s="439">
        <f t="shared" si="2"/>
        <v>262792647</v>
      </c>
      <c r="R13" s="439">
        <f t="shared" si="2"/>
        <v>2468242</v>
      </c>
      <c r="S13" s="439">
        <f t="shared" si="2"/>
        <v>55263808</v>
      </c>
      <c r="T13" s="439">
        <f t="shared" si="2"/>
        <v>11159377</v>
      </c>
      <c r="U13" s="439">
        <f t="shared" si="2"/>
        <v>85794157</v>
      </c>
      <c r="V13" s="441"/>
      <c r="W13" s="441"/>
      <c r="X13" s="439"/>
      <c r="Y13" s="441"/>
      <c r="Z13" s="435"/>
      <c r="AA13" s="441"/>
      <c r="AB13" s="441"/>
      <c r="AC13" s="441"/>
    </row>
    <row r="14" spans="1:29" s="448" customFormat="1" ht="18" customHeight="1">
      <c r="A14" s="442" t="s">
        <v>607</v>
      </c>
      <c r="B14" s="1377"/>
      <c r="C14" s="444">
        <v>111</v>
      </c>
      <c r="D14" s="443"/>
      <c r="E14" s="445" t="s">
        <v>1333</v>
      </c>
      <c r="F14" s="438"/>
      <c r="G14" s="444" t="s">
        <v>1499</v>
      </c>
      <c r="H14" s="446">
        <v>21065817492</v>
      </c>
      <c r="I14" s="447"/>
      <c r="J14" s="447">
        <f ca="1">SUMIF('TH DC'!$B$7:$F$102,BS!G14,'TH DC'!$F$7:$F$102)</f>
        <v>0</v>
      </c>
      <c r="K14" s="443"/>
      <c r="L14" s="447">
        <v>28654144126</v>
      </c>
      <c r="M14" s="447"/>
      <c r="N14" s="447">
        <v>13588106737</v>
      </c>
      <c r="O14" s="426" t="str">
        <f t="shared" si="1"/>
        <v>print</v>
      </c>
      <c r="P14" s="991">
        <f>SUM(Q14:U14)</f>
        <v>417478231</v>
      </c>
      <c r="Q14" s="449">
        <v>262792647</v>
      </c>
      <c r="R14" s="449">
        <v>2468242</v>
      </c>
      <c r="S14" s="449">
        <v>55263808</v>
      </c>
      <c r="T14" s="449">
        <v>11159377</v>
      </c>
      <c r="U14" s="449">
        <v>85794157</v>
      </c>
      <c r="V14" s="449"/>
      <c r="W14" s="449"/>
      <c r="X14" s="449"/>
      <c r="Y14" s="449"/>
      <c r="Z14" s="435">
        <f>L14-Y14</f>
        <v>28654144126</v>
      </c>
      <c r="AA14" s="449"/>
      <c r="AB14" s="449"/>
      <c r="AC14" s="449"/>
    </row>
    <row r="15" spans="1:29" s="448" customFormat="1" ht="15.75">
      <c r="A15" s="443" t="s">
        <v>608</v>
      </c>
      <c r="B15" s="443"/>
      <c r="C15" s="444">
        <v>112</v>
      </c>
      <c r="D15" s="443"/>
      <c r="E15" s="438"/>
      <c r="F15" s="438"/>
      <c r="G15" s="444" t="s">
        <v>1489</v>
      </c>
      <c r="H15" s="446">
        <v>19600000000</v>
      </c>
      <c r="I15" s="447"/>
      <c r="J15" s="447">
        <f ca="1">SUMIF('TH DC'!$B$7:$F$102,BS!G15,'TH DC'!$F$7:$F$102)</f>
        <v>0</v>
      </c>
      <c r="K15" s="443"/>
      <c r="L15" s="1501">
        <v>0</v>
      </c>
      <c r="M15" s="447"/>
      <c r="N15" s="447">
        <v>14000000000</v>
      </c>
      <c r="O15" s="426" t="str">
        <f t="shared" si="1"/>
        <v>print</v>
      </c>
      <c r="P15" s="991">
        <f t="shared" ref="P15:P74" si="3">SUM(Q15:U15)</f>
        <v>0</v>
      </c>
      <c r="Q15" s="449">
        <v>0</v>
      </c>
      <c r="R15" s="449">
        <v>0</v>
      </c>
      <c r="S15" s="449">
        <v>0</v>
      </c>
      <c r="T15" s="449">
        <v>0</v>
      </c>
      <c r="U15" s="449">
        <v>0</v>
      </c>
      <c r="V15" s="449">
        <v>0</v>
      </c>
      <c r="W15" s="449">
        <v>0</v>
      </c>
      <c r="X15" s="449">
        <v>0</v>
      </c>
      <c r="Y15" s="449"/>
      <c r="Z15" s="435">
        <f>L15-Y15</f>
        <v>0</v>
      </c>
      <c r="AA15" s="449"/>
      <c r="AB15" s="449"/>
      <c r="AC15" s="449"/>
    </row>
    <row r="16" spans="1:29" s="440" customFormat="1" ht="15.75">
      <c r="A16" s="436" t="s">
        <v>609</v>
      </c>
      <c r="B16" s="437"/>
      <c r="C16" s="438">
        <v>120</v>
      </c>
      <c r="D16" s="437"/>
      <c r="E16" s="445" t="s">
        <v>1334</v>
      </c>
      <c r="F16" s="438"/>
      <c r="G16" s="438"/>
      <c r="H16" s="439">
        <f>SUM(H17:H18)</f>
        <v>3616824600</v>
      </c>
      <c r="I16" s="439"/>
      <c r="J16" s="439">
        <f ca="1">SUM(J17:J18)</f>
        <v>0</v>
      </c>
      <c r="K16" s="437"/>
      <c r="L16" s="439">
        <f>SUM(L17:L18)</f>
        <v>3559012000</v>
      </c>
      <c r="M16" s="439"/>
      <c r="N16" s="439">
        <f>SUM(N17:N18)</f>
        <v>2835381500</v>
      </c>
      <c r="O16" s="426" t="s">
        <v>1528</v>
      </c>
      <c r="P16" s="991">
        <f t="shared" si="3"/>
        <v>0</v>
      </c>
      <c r="Q16" s="441">
        <v>0</v>
      </c>
      <c r="R16" s="441">
        <v>0</v>
      </c>
      <c r="S16" s="441">
        <v>0</v>
      </c>
      <c r="T16" s="441">
        <v>0</v>
      </c>
      <c r="U16" s="441">
        <v>0</v>
      </c>
      <c r="V16" s="441">
        <v>0</v>
      </c>
      <c r="W16" s="441">
        <v>0</v>
      </c>
      <c r="X16" s="441">
        <v>0</v>
      </c>
      <c r="Y16" s="441"/>
      <c r="Z16" s="435">
        <f>L16-Y16</f>
        <v>3559012000</v>
      </c>
      <c r="AA16" s="441"/>
      <c r="AB16" s="441"/>
      <c r="AC16" s="441"/>
    </row>
    <row r="17" spans="1:29" s="448" customFormat="1" ht="15.75">
      <c r="A17" s="443" t="s">
        <v>610</v>
      </c>
      <c r="B17" s="443"/>
      <c r="C17" s="444">
        <v>121</v>
      </c>
      <c r="D17" s="443"/>
      <c r="E17" s="438"/>
      <c r="F17" s="438"/>
      <c r="G17" s="444" t="s">
        <v>1282</v>
      </c>
      <c r="H17" s="446">
        <v>8264360625</v>
      </c>
      <c r="I17" s="447"/>
      <c r="J17" s="447">
        <f ca="1">SUMIF('TH DC'!$B$7:$F$102,BS!G17,'TH DC'!$F$7:$F$102)</f>
        <v>0</v>
      </c>
      <c r="K17" s="443"/>
      <c r="L17" s="447">
        <v>8386931025</v>
      </c>
      <c r="M17" s="447"/>
      <c r="N17" s="447">
        <v>8386931025</v>
      </c>
      <c r="O17" s="426" t="str">
        <f t="shared" si="1"/>
        <v>print</v>
      </c>
      <c r="P17" s="991">
        <f t="shared" si="3"/>
        <v>700000000</v>
      </c>
      <c r="Q17" s="449">
        <v>700000000</v>
      </c>
      <c r="R17" s="449">
        <v>0</v>
      </c>
      <c r="S17" s="449">
        <v>0</v>
      </c>
      <c r="T17" s="449">
        <v>0</v>
      </c>
      <c r="U17" s="449">
        <v>0</v>
      </c>
      <c r="V17" s="449">
        <v>0</v>
      </c>
      <c r="W17" s="449">
        <v>0</v>
      </c>
      <c r="X17" s="449">
        <v>0</v>
      </c>
      <c r="Y17" s="449"/>
      <c r="Z17" s="435">
        <f>L17-Y17</f>
        <v>8386931025</v>
      </c>
      <c r="AA17" s="449"/>
      <c r="AB17" s="449"/>
      <c r="AC17" s="449"/>
    </row>
    <row r="18" spans="1:29" s="448" customFormat="1" ht="15.75">
      <c r="A18" s="450" t="s">
        <v>1404</v>
      </c>
      <c r="B18" s="443"/>
      <c r="C18" s="444">
        <v>129</v>
      </c>
      <c r="D18" s="443"/>
      <c r="E18" s="438"/>
      <c r="F18" s="438"/>
      <c r="G18" s="444" t="s">
        <v>866</v>
      </c>
      <c r="H18" s="446">
        <v>-4647536025</v>
      </c>
      <c r="I18" s="447"/>
      <c r="J18" s="447">
        <f ca="1">SUMIF('TH DC'!$B$7:$F$102,BS!G18,'TH DC'!$F$7:$F$102)</f>
        <v>0</v>
      </c>
      <c r="K18" s="443"/>
      <c r="L18" s="447">
        <f>-5551549525+723630500</f>
        <v>-4827919025</v>
      </c>
      <c r="M18" s="447"/>
      <c r="N18" s="447">
        <v>-5551549525</v>
      </c>
      <c r="O18" s="426" t="str">
        <f t="shared" si="1"/>
        <v>print</v>
      </c>
      <c r="P18" s="991">
        <f t="shared" si="3"/>
        <v>0</v>
      </c>
      <c r="Q18" s="449">
        <v>0</v>
      </c>
      <c r="R18" s="449">
        <v>0</v>
      </c>
      <c r="S18" s="449">
        <v>0</v>
      </c>
      <c r="T18" s="449">
        <v>0</v>
      </c>
      <c r="U18" s="449">
        <v>0</v>
      </c>
      <c r="V18" s="449">
        <v>0</v>
      </c>
      <c r="W18" s="449">
        <v>0</v>
      </c>
      <c r="X18" s="449">
        <v>0</v>
      </c>
      <c r="Y18" s="449"/>
      <c r="Z18" s="435">
        <f>L18-Y18</f>
        <v>-4827919025</v>
      </c>
      <c r="AA18" s="449"/>
      <c r="AB18" s="449"/>
      <c r="AC18" s="449"/>
    </row>
    <row r="19" spans="1:29" s="440" customFormat="1" ht="15.75">
      <c r="A19" s="436" t="s">
        <v>611</v>
      </c>
      <c r="B19" s="437"/>
      <c r="C19" s="438">
        <v>130</v>
      </c>
      <c r="D19" s="437"/>
      <c r="E19" s="445" t="s">
        <v>1335</v>
      </c>
      <c r="F19" s="438"/>
      <c r="G19" s="438"/>
      <c r="H19" s="439">
        <f>SUM(H20:H25)</f>
        <v>313707006259</v>
      </c>
      <c r="I19" s="439"/>
      <c r="J19" s="439">
        <f ca="1">SUM(J20:J25)</f>
        <v>0</v>
      </c>
      <c r="K19" s="437"/>
      <c r="L19" s="439">
        <f>SUM(L20:L25)</f>
        <v>384207106271</v>
      </c>
      <c r="M19" s="439"/>
      <c r="N19" s="439">
        <f>SUM(N20:N25)</f>
        <v>314036434597</v>
      </c>
      <c r="O19" s="426" t="str">
        <f t="shared" si="1"/>
        <v>print</v>
      </c>
      <c r="P19" s="1140">
        <f t="shared" ref="P19:U19" si="4">SUM(P20:P25)</f>
        <v>31114791117</v>
      </c>
      <c r="Q19" s="439">
        <f t="shared" si="4"/>
        <v>42905938670</v>
      </c>
      <c r="R19" s="439">
        <f t="shared" si="4"/>
        <v>-9917505539</v>
      </c>
      <c r="S19" s="439">
        <f t="shared" si="4"/>
        <v>1006789751</v>
      </c>
      <c r="T19" s="439">
        <f t="shared" si="4"/>
        <v>-17342859</v>
      </c>
      <c r="U19" s="439">
        <f t="shared" si="4"/>
        <v>-2863088906</v>
      </c>
      <c r="V19" s="441"/>
      <c r="W19" s="441"/>
      <c r="X19" s="439"/>
      <c r="Y19" s="439"/>
      <c r="Z19" s="435"/>
      <c r="AA19" s="441"/>
      <c r="AB19" s="441"/>
      <c r="AC19" s="441"/>
    </row>
    <row r="20" spans="1:29" s="448" customFormat="1" ht="18" customHeight="1">
      <c r="A20" s="443" t="s">
        <v>612</v>
      </c>
      <c r="B20" s="443"/>
      <c r="C20" s="444">
        <v>131</v>
      </c>
      <c r="D20" s="443"/>
      <c r="E20" s="438"/>
      <c r="F20" s="438"/>
      <c r="G20" s="444" t="s">
        <v>1275</v>
      </c>
      <c r="H20" s="446">
        <v>207510883708</v>
      </c>
      <c r="I20" s="447"/>
      <c r="J20" s="447">
        <f ca="1">SUMIF('TH DC'!$B$7:$F$102,BS!G20,'TH DC'!$F$7:$F$102)</f>
        <v>0</v>
      </c>
      <c r="K20" s="443"/>
      <c r="L20" s="447">
        <v>274191804434</v>
      </c>
      <c r="M20" s="447"/>
      <c r="N20" s="447">
        <v>215636450016</v>
      </c>
      <c r="O20" s="426" t="str">
        <f t="shared" si="1"/>
        <v>print</v>
      </c>
      <c r="P20" s="991">
        <f t="shared" si="3"/>
        <v>5861807058</v>
      </c>
      <c r="Q20" s="449">
        <v>4420692465</v>
      </c>
      <c r="R20" s="449"/>
      <c r="S20" s="449">
        <v>1315411406</v>
      </c>
      <c r="T20" s="449">
        <v>125703187</v>
      </c>
      <c r="U20" s="449"/>
      <c r="V20" s="449"/>
      <c r="W20" s="449"/>
      <c r="X20" s="449"/>
      <c r="Y20" s="449"/>
      <c r="Z20" s="451"/>
      <c r="AA20" s="452"/>
      <c r="AB20" s="449"/>
      <c r="AC20" s="449"/>
    </row>
    <row r="21" spans="1:29" s="448" customFormat="1" ht="15.75">
      <c r="A21" s="453" t="s">
        <v>1547</v>
      </c>
      <c r="B21" s="443"/>
      <c r="C21" s="444">
        <v>132</v>
      </c>
      <c r="D21" s="443"/>
      <c r="E21" s="438"/>
      <c r="F21" s="438"/>
      <c r="G21" s="444" t="s">
        <v>1297</v>
      </c>
      <c r="H21" s="446">
        <v>49964298268</v>
      </c>
      <c r="I21" s="447"/>
      <c r="J21" s="447">
        <f ca="1">SUMIF('TH DC'!$B$7:$F$102,BS!G21,'TH DC'!$F$7:$F$102)</f>
        <v>0</v>
      </c>
      <c r="K21" s="443"/>
      <c r="L21" s="447">
        <v>34183096413</v>
      </c>
      <c r="M21" s="447"/>
      <c r="N21" s="447">
        <v>40813427791</v>
      </c>
      <c r="O21" s="426" t="str">
        <f t="shared" si="1"/>
        <v>print</v>
      </c>
      <c r="P21" s="991">
        <f t="shared" si="3"/>
        <v>1455404584</v>
      </c>
      <c r="Q21" s="449">
        <v>1271321567</v>
      </c>
      <c r="R21" s="449"/>
      <c r="S21" s="449"/>
      <c r="T21" s="449">
        <v>182083017</v>
      </c>
      <c r="U21" s="449">
        <v>2000000</v>
      </c>
      <c r="V21" s="449"/>
      <c r="W21" s="449"/>
      <c r="X21" s="449"/>
      <c r="Y21" s="449"/>
      <c r="Z21" s="435"/>
      <c r="AA21" s="449"/>
      <c r="AB21" s="449"/>
      <c r="AC21" s="449"/>
    </row>
    <row r="22" spans="1:29" s="448" customFormat="1" ht="15.75">
      <c r="A22" s="450" t="s">
        <v>1405</v>
      </c>
      <c r="B22" s="443"/>
      <c r="C22" s="444">
        <v>133</v>
      </c>
      <c r="D22" s="443"/>
      <c r="E22" s="438"/>
      <c r="F22" s="454"/>
      <c r="G22" s="444" t="s">
        <v>1278</v>
      </c>
      <c r="H22" s="446">
        <v>49827794950</v>
      </c>
      <c r="I22" s="447"/>
      <c r="J22" s="447">
        <f ca="1">SUMIF('TH DC'!$B$7:$F$102,BS!G22,'TH DC'!$F$7:$F$102)</f>
        <v>0</v>
      </c>
      <c r="K22" s="443"/>
      <c r="L22" s="447">
        <f>24541910937+28174386067+24134851215-17729045861+12911690246</f>
        <v>72033792604</v>
      </c>
      <c r="M22" s="447"/>
      <c r="N22" s="447">
        <v>53731958034</v>
      </c>
      <c r="O22" s="455" t="str">
        <f t="shared" si="1"/>
        <v>print</v>
      </c>
      <c r="P22" s="991">
        <f t="shared" si="3"/>
        <v>22723454918</v>
      </c>
      <c r="Q22" s="449">
        <v>36840853442</v>
      </c>
      <c r="R22" s="449">
        <v>-10447126420</v>
      </c>
      <c r="S22" s="449">
        <v>-317589889</v>
      </c>
      <c r="T22" s="449">
        <v>-340130663</v>
      </c>
      <c r="U22" s="449">
        <v>-3012551552</v>
      </c>
      <c r="V22" s="449"/>
      <c r="W22" s="449"/>
      <c r="X22" s="449"/>
      <c r="Y22" s="449"/>
      <c r="Z22" s="435"/>
      <c r="AA22" s="449"/>
      <c r="AB22" s="449"/>
      <c r="AC22" s="449"/>
    </row>
    <row r="23" spans="1:29" s="448" customFormat="1" ht="15.75" hidden="1">
      <c r="A23" s="450" t="s">
        <v>1543</v>
      </c>
      <c r="B23" s="443"/>
      <c r="C23" s="444">
        <v>134</v>
      </c>
      <c r="D23" s="443"/>
      <c r="E23" s="438"/>
      <c r="F23" s="454"/>
      <c r="G23" s="444" t="s">
        <v>1276</v>
      </c>
      <c r="H23" s="446"/>
      <c r="I23" s="447"/>
      <c r="J23" s="447">
        <f ca="1">SUMIF('TH DC'!$B$7:$F$102,BS!G23,'TH DC'!$F$7:$F$102)</f>
        <v>0</v>
      </c>
      <c r="K23" s="443"/>
      <c r="L23" s="447">
        <v>0</v>
      </c>
      <c r="M23" s="447"/>
      <c r="N23" s="447">
        <v>0</v>
      </c>
      <c r="O23" s="455" t="str">
        <f t="shared" si="1"/>
        <v/>
      </c>
      <c r="P23" s="991">
        <f t="shared" si="3"/>
        <v>0</v>
      </c>
      <c r="Q23" s="449"/>
      <c r="R23" s="449"/>
      <c r="S23" s="449"/>
      <c r="T23" s="449"/>
      <c r="U23" s="449"/>
      <c r="V23" s="449"/>
      <c r="W23" s="449"/>
      <c r="X23" s="449"/>
      <c r="Y23" s="449"/>
      <c r="Z23" s="435"/>
      <c r="AA23" s="449"/>
      <c r="AB23" s="449"/>
      <c r="AC23" s="449"/>
    </row>
    <row r="24" spans="1:29" s="448" customFormat="1" ht="18" customHeight="1">
      <c r="A24" s="453" t="s">
        <v>467</v>
      </c>
      <c r="B24" s="443"/>
      <c r="C24" s="444">
        <v>138</v>
      </c>
      <c r="D24" s="443"/>
      <c r="E24" s="445"/>
      <c r="F24" s="438"/>
      <c r="G24" s="444" t="s">
        <v>1277</v>
      </c>
      <c r="H24" s="446">
        <v>6929175488</v>
      </c>
      <c r="I24" s="447"/>
      <c r="J24" s="447">
        <f ca="1">SUMIF('TH DC'!$B$7:$F$102,BS!G24,'TH DC'!$F$7:$F$102)</f>
        <v>0</v>
      </c>
      <c r="K24" s="443"/>
      <c r="L24" s="447">
        <v>4323558975</v>
      </c>
      <c r="M24" s="447"/>
      <c r="N24" s="447">
        <v>4379744911</v>
      </c>
      <c r="O24" s="426" t="str">
        <f t="shared" si="1"/>
        <v>print</v>
      </c>
      <c r="P24" s="991">
        <f t="shared" si="3"/>
        <v>1074124557</v>
      </c>
      <c r="Q24" s="449">
        <v>373071196</v>
      </c>
      <c r="R24" s="449">
        <v>529620881</v>
      </c>
      <c r="S24" s="449">
        <v>8968234</v>
      </c>
      <c r="T24" s="449">
        <v>15001600</v>
      </c>
      <c r="U24" s="449">
        <v>147462646</v>
      </c>
      <c r="V24" s="449"/>
      <c r="W24" s="449"/>
      <c r="X24" s="449"/>
      <c r="Y24" s="449"/>
      <c r="Z24" s="451"/>
      <c r="AA24" s="452"/>
      <c r="AB24" s="449"/>
      <c r="AC24" s="449"/>
    </row>
    <row r="25" spans="1:29" s="448" customFormat="1" ht="15.75">
      <c r="A25" s="450" t="s">
        <v>468</v>
      </c>
      <c r="B25" s="443"/>
      <c r="C25" s="444">
        <v>139</v>
      </c>
      <c r="D25" s="443"/>
      <c r="E25" s="438"/>
      <c r="F25" s="438"/>
      <c r="G25" s="444" t="s">
        <v>867</v>
      </c>
      <c r="H25" s="446">
        <v>-525146155</v>
      </c>
      <c r="I25" s="447"/>
      <c r="J25" s="447">
        <f ca="1">SUMIF('TH DC'!$B$7:$F$102,BS!G25,'TH DC'!$F$7:$F$102)</f>
        <v>0</v>
      </c>
      <c r="K25" s="443"/>
      <c r="L25" s="447">
        <v>-525146155</v>
      </c>
      <c r="M25" s="447"/>
      <c r="N25" s="447">
        <v>-525146155</v>
      </c>
      <c r="O25" s="426" t="str">
        <f t="shared" si="1"/>
        <v>print</v>
      </c>
      <c r="P25" s="991">
        <f t="shared" si="3"/>
        <v>0</v>
      </c>
      <c r="Q25" s="449"/>
      <c r="R25" s="449"/>
      <c r="S25" s="449"/>
      <c r="T25" s="449"/>
      <c r="U25" s="449"/>
      <c r="V25" s="449"/>
      <c r="W25" s="449"/>
      <c r="X25" s="449"/>
      <c r="Y25" s="449"/>
      <c r="Z25" s="435"/>
      <c r="AA25" s="449"/>
      <c r="AB25" s="449"/>
      <c r="AC25" s="449"/>
    </row>
    <row r="26" spans="1:29" s="448" customFormat="1" ht="3" customHeight="1">
      <c r="A26" s="450"/>
      <c r="B26" s="443"/>
      <c r="C26" s="444"/>
      <c r="D26" s="443"/>
      <c r="E26" s="438"/>
      <c r="F26" s="438"/>
      <c r="G26" s="444"/>
      <c r="H26" s="447"/>
      <c r="I26" s="447"/>
      <c r="J26" s="447"/>
      <c r="K26" s="443"/>
      <c r="L26" s="447"/>
      <c r="M26" s="447"/>
      <c r="N26" s="447"/>
      <c r="O26" s="426" t="s">
        <v>1528</v>
      </c>
      <c r="P26" s="991">
        <f t="shared" si="3"/>
        <v>0</v>
      </c>
      <c r="Q26" s="449">
        <v>0</v>
      </c>
      <c r="R26" s="449">
        <v>0</v>
      </c>
      <c r="S26" s="449">
        <v>0</v>
      </c>
      <c r="T26" s="449">
        <v>0</v>
      </c>
      <c r="U26" s="449">
        <v>0</v>
      </c>
      <c r="V26" s="449">
        <v>0</v>
      </c>
      <c r="W26" s="449">
        <v>0</v>
      </c>
      <c r="X26" s="449">
        <v>0</v>
      </c>
      <c r="Y26" s="449"/>
      <c r="Z26" s="435">
        <f>L26-Y26</f>
        <v>0</v>
      </c>
      <c r="AA26" s="449"/>
      <c r="AB26" s="449"/>
      <c r="AC26" s="449"/>
    </row>
    <row r="27" spans="1:29" s="440" customFormat="1" ht="18" customHeight="1">
      <c r="A27" s="436" t="s">
        <v>613</v>
      </c>
      <c r="B27" s="437"/>
      <c r="C27" s="438">
        <v>140</v>
      </c>
      <c r="D27" s="437"/>
      <c r="E27" s="438"/>
      <c r="F27" s="438"/>
      <c r="G27" s="438"/>
      <c r="H27" s="439">
        <f>SUM(H28:H29)</f>
        <v>64896373206</v>
      </c>
      <c r="I27" s="439"/>
      <c r="J27" s="439">
        <f ca="1">SUM(J28:J29)</f>
        <v>0</v>
      </c>
      <c r="K27" s="437"/>
      <c r="L27" s="439">
        <f>SUM(L28:L29)</f>
        <v>105007849063</v>
      </c>
      <c r="M27" s="439"/>
      <c r="N27" s="439">
        <f>SUM(N28:N29)</f>
        <v>86489712269</v>
      </c>
      <c r="O27" s="426" t="s">
        <v>1528</v>
      </c>
      <c r="P27" s="1140">
        <f t="shared" ref="P27:U27" si="5">SUM(P28:P29)</f>
        <v>14360765155</v>
      </c>
      <c r="Q27" s="439">
        <f t="shared" si="5"/>
        <v>4115507213</v>
      </c>
      <c r="R27" s="439">
        <f t="shared" si="5"/>
        <v>638948358</v>
      </c>
      <c r="S27" s="439">
        <f t="shared" si="5"/>
        <v>3769309608</v>
      </c>
      <c r="T27" s="439">
        <f t="shared" si="5"/>
        <v>370360704</v>
      </c>
      <c r="U27" s="439">
        <f t="shared" si="5"/>
        <v>5466639272</v>
      </c>
      <c r="V27" s="441"/>
      <c r="W27" s="441"/>
      <c r="X27" s="439"/>
      <c r="Y27" s="441"/>
      <c r="Z27" s="435"/>
      <c r="AA27" s="441"/>
      <c r="AB27" s="441"/>
      <c r="AC27" s="441"/>
    </row>
    <row r="28" spans="1:29" s="448" customFormat="1" ht="18" customHeight="1">
      <c r="A28" s="443" t="s">
        <v>614</v>
      </c>
      <c r="B28" s="443"/>
      <c r="C28" s="444">
        <v>141</v>
      </c>
      <c r="D28" s="443"/>
      <c r="E28" s="445" t="s">
        <v>1336</v>
      </c>
      <c r="F28" s="438"/>
      <c r="G28" s="444" t="s">
        <v>1453</v>
      </c>
      <c r="H28" s="446">
        <v>64896373206</v>
      </c>
      <c r="I28" s="447"/>
      <c r="J28" s="447">
        <f ca="1">SUMIF('TH DC'!$B$7:$F$102,BS!G28,'TH DC'!$F$7:$F$102)</f>
        <v>0</v>
      </c>
      <c r="K28" s="443"/>
      <c r="L28" s="447">
        <v>105007849063</v>
      </c>
      <c r="M28" s="447">
        <v>86489712269</v>
      </c>
      <c r="N28" s="447">
        <v>86489712269</v>
      </c>
      <c r="O28" s="426" t="str">
        <f t="shared" si="1"/>
        <v>print</v>
      </c>
      <c r="P28" s="991">
        <f t="shared" si="3"/>
        <v>14360765155</v>
      </c>
      <c r="Q28" s="449">
        <v>4115507213</v>
      </c>
      <c r="R28" s="449">
        <v>638948358</v>
      </c>
      <c r="S28" s="449">
        <v>3769309608</v>
      </c>
      <c r="T28" s="449">
        <v>370360704</v>
      </c>
      <c r="U28" s="449">
        <v>5466639272</v>
      </c>
      <c r="V28" s="449"/>
      <c r="W28" s="449"/>
      <c r="X28" s="449"/>
      <c r="Y28" s="449"/>
      <c r="Z28" s="451"/>
      <c r="AA28" s="449"/>
      <c r="AB28" s="449"/>
      <c r="AC28" s="449"/>
    </row>
    <row r="29" spans="1:29" s="448" customFormat="1" ht="18" hidden="1" customHeight="1">
      <c r="A29" s="443" t="s">
        <v>615</v>
      </c>
      <c r="B29" s="443"/>
      <c r="C29" s="444">
        <v>149</v>
      </c>
      <c r="D29" s="443"/>
      <c r="E29" s="438"/>
      <c r="F29" s="438"/>
      <c r="G29" s="444" t="s">
        <v>868</v>
      </c>
      <c r="H29" s="446">
        <f>P29</f>
        <v>0</v>
      </c>
      <c r="I29" s="447"/>
      <c r="J29" s="447">
        <f ca="1">SUMIF('TH DC'!$B$7:$F$102,BS!G29,'TH DC'!$F$7:$F$102)</f>
        <v>0</v>
      </c>
      <c r="K29" s="443"/>
      <c r="L29" s="1501">
        <v>0</v>
      </c>
      <c r="M29" s="1501">
        <v>0</v>
      </c>
      <c r="N29" s="446">
        <v>0</v>
      </c>
      <c r="O29" s="426" t="str">
        <f t="shared" si="1"/>
        <v/>
      </c>
      <c r="P29" s="991">
        <f t="shared" si="3"/>
        <v>0</v>
      </c>
      <c r="Q29" s="449">
        <v>0</v>
      </c>
      <c r="R29" s="449">
        <v>0</v>
      </c>
      <c r="S29" s="449">
        <v>0</v>
      </c>
      <c r="T29" s="449">
        <v>0</v>
      </c>
      <c r="U29" s="449">
        <v>0</v>
      </c>
      <c r="V29" s="449">
        <v>0</v>
      </c>
      <c r="W29" s="449">
        <v>0</v>
      </c>
      <c r="X29" s="449">
        <v>0</v>
      </c>
      <c r="Y29" s="449"/>
      <c r="Z29" s="435">
        <f t="shared" ref="Z29:Z36" si="6">L29-Y29</f>
        <v>0</v>
      </c>
      <c r="AA29" s="449"/>
      <c r="AB29" s="449"/>
      <c r="AC29" s="449"/>
    </row>
    <row r="30" spans="1:29" s="448" customFormat="1" ht="8.25" hidden="1" customHeight="1">
      <c r="A30" s="443"/>
      <c r="B30" s="443"/>
      <c r="C30" s="444"/>
      <c r="D30" s="443"/>
      <c r="E30" s="438"/>
      <c r="F30" s="438"/>
      <c r="G30" s="444"/>
      <c r="H30" s="447"/>
      <c r="I30" s="447"/>
      <c r="J30" s="447"/>
      <c r="K30" s="443"/>
      <c r="L30" s="447"/>
      <c r="M30" s="447"/>
      <c r="N30" s="447"/>
      <c r="O30" s="426" t="s">
        <v>1528</v>
      </c>
      <c r="P30" s="991">
        <f t="shared" si="3"/>
        <v>0</v>
      </c>
      <c r="Q30" s="449">
        <v>0</v>
      </c>
      <c r="R30" s="449">
        <v>0</v>
      </c>
      <c r="S30" s="449">
        <v>0</v>
      </c>
      <c r="T30" s="449">
        <v>0</v>
      </c>
      <c r="U30" s="449">
        <v>0</v>
      </c>
      <c r="V30" s="449">
        <v>0</v>
      </c>
      <c r="W30" s="449">
        <v>0</v>
      </c>
      <c r="X30" s="449">
        <v>0</v>
      </c>
      <c r="Y30" s="449"/>
      <c r="Z30" s="435">
        <f t="shared" si="6"/>
        <v>0</v>
      </c>
      <c r="AA30" s="449"/>
      <c r="AB30" s="449"/>
      <c r="AC30" s="449"/>
    </row>
    <row r="31" spans="1:29" s="440" customFormat="1" ht="15.75">
      <c r="A31" s="436" t="s">
        <v>616</v>
      </c>
      <c r="B31" s="437"/>
      <c r="C31" s="438">
        <v>150</v>
      </c>
      <c r="D31" s="437"/>
      <c r="E31" s="438"/>
      <c r="F31" s="438"/>
      <c r="G31" s="438"/>
      <c r="H31" s="439">
        <f>SUM(H32:H35)</f>
        <v>18318843780</v>
      </c>
      <c r="I31" s="439"/>
      <c r="J31" s="439">
        <f ca="1">SUM(J32:J35)</f>
        <v>0</v>
      </c>
      <c r="K31" s="437"/>
      <c r="L31" s="439">
        <f>SUM(L32:L35)</f>
        <v>16192883219</v>
      </c>
      <c r="M31" s="439"/>
      <c r="N31" s="456">
        <f>SUM(N32:N35)</f>
        <v>17428662586</v>
      </c>
      <c r="O31" s="426" t="str">
        <f t="shared" si="1"/>
        <v>print</v>
      </c>
      <c r="P31" s="1144">
        <f t="shared" ref="P31:U31" si="7">SUM(P32:P35)</f>
        <v>7406732579</v>
      </c>
      <c r="Q31" s="456">
        <f t="shared" si="7"/>
        <v>5003982973</v>
      </c>
      <c r="R31" s="456">
        <f t="shared" si="7"/>
        <v>451871705</v>
      </c>
      <c r="S31" s="456">
        <f t="shared" si="7"/>
        <v>102551100</v>
      </c>
      <c r="T31" s="456">
        <f t="shared" si="7"/>
        <v>258760346</v>
      </c>
      <c r="U31" s="456">
        <f t="shared" si="7"/>
        <v>1589566455</v>
      </c>
      <c r="V31" s="441"/>
      <c r="W31" s="441"/>
      <c r="X31" s="439"/>
      <c r="Y31" s="439"/>
      <c r="Z31" s="435">
        <f t="shared" si="6"/>
        <v>16192883219</v>
      </c>
      <c r="AA31" s="441"/>
      <c r="AB31" s="441"/>
      <c r="AC31" s="441"/>
    </row>
    <row r="32" spans="1:29" s="448" customFormat="1" ht="15.75">
      <c r="A32" s="442" t="s">
        <v>617</v>
      </c>
      <c r="B32" s="443"/>
      <c r="C32" s="444">
        <v>151</v>
      </c>
      <c r="D32" s="443"/>
      <c r="E32" s="438"/>
      <c r="F32" s="438"/>
      <c r="G32" s="444" t="s">
        <v>1279</v>
      </c>
      <c r="H32" s="446">
        <v>5780409759</v>
      </c>
      <c r="I32" s="447"/>
      <c r="J32" s="447">
        <f ca="1">SUMIF('TH DC'!$B$7:$F$102,BS!G32,'TH DC'!$F$7:$F$102)</f>
        <v>0</v>
      </c>
      <c r="K32" s="443"/>
      <c r="L32" s="447">
        <v>8648974159</v>
      </c>
      <c r="M32" s="447"/>
      <c r="N32" s="447">
        <v>7251655048</v>
      </c>
      <c r="O32" s="426" t="str">
        <f t="shared" si="1"/>
        <v>print</v>
      </c>
      <c r="P32" s="991">
        <f t="shared" si="3"/>
        <v>751380050</v>
      </c>
      <c r="Q32" s="449">
        <v>262842482</v>
      </c>
      <c r="R32" s="449">
        <v>348501405</v>
      </c>
      <c r="S32" s="449">
        <v>15075376</v>
      </c>
      <c r="T32" s="449">
        <v>7214090</v>
      </c>
      <c r="U32" s="449">
        <v>117746697</v>
      </c>
      <c r="V32" s="449"/>
      <c r="W32" s="449"/>
      <c r="X32" s="449"/>
      <c r="Y32" s="449"/>
      <c r="Z32" s="435">
        <f t="shared" si="6"/>
        <v>8648974159</v>
      </c>
      <c r="AA32" s="449"/>
      <c r="AB32" s="449"/>
      <c r="AC32" s="449"/>
    </row>
    <row r="33" spans="1:29" s="448" customFormat="1" ht="15.75">
      <c r="A33" s="453" t="s">
        <v>1406</v>
      </c>
      <c r="B33" s="443"/>
      <c r="C33" s="444">
        <v>152</v>
      </c>
      <c r="D33" s="443"/>
      <c r="E33" s="445"/>
      <c r="F33" s="438"/>
      <c r="G33" s="444" t="s">
        <v>1507</v>
      </c>
      <c r="H33" s="446">
        <v>600721959</v>
      </c>
      <c r="I33" s="447"/>
      <c r="J33" s="447">
        <f ca="1">SUMIF('TH DC'!$B$7:$F$102,BS!G33,'TH DC'!$F$7:$F$102)</f>
        <v>0</v>
      </c>
      <c r="K33" s="443"/>
      <c r="L33" s="447">
        <v>515507026</v>
      </c>
      <c r="M33" s="447"/>
      <c r="N33" s="447">
        <v>52035903</v>
      </c>
      <c r="O33" s="426" t="str">
        <f t="shared" si="1"/>
        <v>print</v>
      </c>
      <c r="P33" s="991">
        <f t="shared" si="3"/>
        <v>1881007009</v>
      </c>
      <c r="Q33" s="449">
        <v>1069488989</v>
      </c>
      <c r="R33" s="449"/>
      <c r="S33" s="449"/>
      <c r="T33" s="449"/>
      <c r="U33" s="449">
        <v>811518020</v>
      </c>
      <c r="V33" s="449"/>
      <c r="W33" s="449"/>
      <c r="X33" s="449"/>
      <c r="Y33" s="449"/>
      <c r="Z33" s="435">
        <f t="shared" si="6"/>
        <v>515507026</v>
      </c>
      <c r="AA33" s="449"/>
      <c r="AB33" s="449"/>
      <c r="AC33" s="449"/>
    </row>
    <row r="34" spans="1:29" s="448" customFormat="1" ht="18" hidden="1" customHeight="1">
      <c r="A34" s="450" t="s">
        <v>105</v>
      </c>
      <c r="B34" s="443"/>
      <c r="C34" s="444">
        <v>154</v>
      </c>
      <c r="D34" s="443"/>
      <c r="E34" s="445"/>
      <c r="F34" s="454"/>
      <c r="G34" s="444" t="s">
        <v>1508</v>
      </c>
      <c r="H34" s="446">
        <v>0</v>
      </c>
      <c r="I34" s="447"/>
      <c r="J34" s="447">
        <f ca="1">SUMIF('TH DC'!$B$7:$F$102,BS!G34,'TH DC'!$F$7:$F$102)</f>
        <v>0</v>
      </c>
      <c r="K34" s="443"/>
      <c r="L34" s="447">
        <v>0</v>
      </c>
      <c r="M34" s="447"/>
      <c r="N34" s="447">
        <v>0</v>
      </c>
      <c r="O34" s="426" t="str">
        <f t="shared" si="1"/>
        <v/>
      </c>
      <c r="P34" s="991">
        <f t="shared" si="3"/>
        <v>34270967</v>
      </c>
      <c r="Q34" s="449"/>
      <c r="R34" s="449">
        <v>16435300</v>
      </c>
      <c r="S34" s="449">
        <v>17835667</v>
      </c>
      <c r="T34" s="449"/>
      <c r="U34" s="449"/>
      <c r="V34" s="449"/>
      <c r="W34" s="449"/>
      <c r="X34" s="449"/>
      <c r="Y34" s="449"/>
      <c r="Z34" s="435">
        <f t="shared" si="6"/>
        <v>0</v>
      </c>
      <c r="AA34" s="449"/>
      <c r="AB34" s="449"/>
      <c r="AC34" s="449"/>
    </row>
    <row r="35" spans="1:29" s="448" customFormat="1" ht="18" customHeight="1">
      <c r="A35" s="450" t="s">
        <v>469</v>
      </c>
      <c r="B35" s="443"/>
      <c r="C35" s="444">
        <v>158</v>
      </c>
      <c r="D35" s="443"/>
      <c r="E35" s="438"/>
      <c r="F35" s="444"/>
      <c r="G35" s="444" t="s">
        <v>1460</v>
      </c>
      <c r="H35" s="446">
        <v>11937712062</v>
      </c>
      <c r="I35" s="447"/>
      <c r="J35" s="447">
        <f ca="1">SUMIF('TH DC'!$B$7:$F$102,BS!G35,'TH DC'!$F$7:$F$102)</f>
        <v>0</v>
      </c>
      <c r="K35" s="443"/>
      <c r="L35" s="447">
        <v>7028402034</v>
      </c>
      <c r="M35" s="447"/>
      <c r="N35" s="447">
        <v>10124971635</v>
      </c>
      <c r="O35" s="426" t="str">
        <f t="shared" si="1"/>
        <v>print</v>
      </c>
      <c r="P35" s="991">
        <f t="shared" si="3"/>
        <v>4740074553</v>
      </c>
      <c r="Q35" s="449">
        <v>3671651502</v>
      </c>
      <c r="R35" s="449">
        <v>86935000</v>
      </c>
      <c r="S35" s="449">
        <v>69640057</v>
      </c>
      <c r="T35" s="449">
        <v>251546256</v>
      </c>
      <c r="U35" s="449">
        <v>660301738</v>
      </c>
      <c r="V35" s="449"/>
      <c r="W35" s="449"/>
      <c r="X35" s="449"/>
      <c r="Y35" s="449"/>
      <c r="Z35" s="435">
        <f t="shared" si="6"/>
        <v>7028402034</v>
      </c>
      <c r="AA35" s="449"/>
      <c r="AB35" s="449"/>
      <c r="AC35" s="449"/>
    </row>
    <row r="36" spans="1:29" s="448" customFormat="1" ht="1.5" customHeight="1">
      <c r="A36" s="443"/>
      <c r="B36" s="443"/>
      <c r="C36" s="444"/>
      <c r="D36" s="443"/>
      <c r="E36" s="438"/>
      <c r="F36" s="444"/>
      <c r="G36" s="444"/>
      <c r="H36" s="447"/>
      <c r="I36" s="447"/>
      <c r="J36" s="447"/>
      <c r="K36" s="443"/>
      <c r="L36" s="447"/>
      <c r="M36" s="447"/>
      <c r="N36" s="447"/>
      <c r="O36" s="426" t="s">
        <v>1528</v>
      </c>
      <c r="P36" s="991">
        <f t="shared" si="3"/>
        <v>0</v>
      </c>
      <c r="Q36" s="449"/>
      <c r="R36" s="449"/>
      <c r="S36" s="449"/>
      <c r="T36" s="449"/>
      <c r="U36" s="449"/>
      <c r="V36" s="449"/>
      <c r="W36" s="449"/>
      <c r="X36" s="449"/>
      <c r="Y36" s="449"/>
      <c r="Z36" s="435">
        <f t="shared" si="6"/>
        <v>0</v>
      </c>
      <c r="AA36" s="449"/>
      <c r="AB36" s="449"/>
      <c r="AC36" s="449"/>
    </row>
    <row r="37" spans="1:29" s="433" customFormat="1" ht="18.75" customHeight="1">
      <c r="A37" s="429" t="s">
        <v>255</v>
      </c>
      <c r="B37" s="430"/>
      <c r="C37" s="431">
        <v>200</v>
      </c>
      <c r="D37" s="430"/>
      <c r="E37" s="438"/>
      <c r="F37" s="431"/>
      <c r="G37" s="431"/>
      <c r="H37" s="439">
        <f>H38+H44+H56+H60+H66</f>
        <v>191915314975</v>
      </c>
      <c r="I37" s="439"/>
      <c r="J37" s="432">
        <f ca="1">J38+J44+J56+J60+J66</f>
        <v>0</v>
      </c>
      <c r="K37" s="430"/>
      <c r="L37" s="432">
        <f ca="1">L38+L44+L56+L60+L66</f>
        <v>157619236881</v>
      </c>
      <c r="M37" s="432"/>
      <c r="N37" s="432">
        <f>N38+N44+N56+N60+N66</f>
        <v>172563951597</v>
      </c>
      <c r="O37" s="426" t="str">
        <f t="shared" ca="1" si="1"/>
        <v>print</v>
      </c>
      <c r="P37" s="1139">
        <f t="shared" ref="P37:U37" si="8">P38+P44+P56+P60+P66</f>
        <v>56836917031</v>
      </c>
      <c r="Q37" s="432">
        <f t="shared" si="8"/>
        <v>20610388630</v>
      </c>
      <c r="R37" s="432">
        <f t="shared" si="8"/>
        <v>12776582215</v>
      </c>
      <c r="S37" s="432">
        <f t="shared" si="8"/>
        <v>745642962</v>
      </c>
      <c r="T37" s="432">
        <f t="shared" si="8"/>
        <v>599746004</v>
      </c>
      <c r="U37" s="432">
        <f t="shared" si="8"/>
        <v>22104557220</v>
      </c>
      <c r="V37" s="434"/>
      <c r="W37" s="434"/>
      <c r="X37" s="432"/>
      <c r="Y37" s="434"/>
      <c r="Z37" s="435"/>
      <c r="AA37" s="434"/>
      <c r="AB37" s="434"/>
      <c r="AC37" s="434"/>
    </row>
    <row r="38" spans="1:29" s="440" customFormat="1" ht="15.75">
      <c r="A38" s="436" t="s">
        <v>628</v>
      </c>
      <c r="B38" s="437"/>
      <c r="C38" s="438">
        <v>210</v>
      </c>
      <c r="D38" s="437"/>
      <c r="E38" s="438"/>
      <c r="F38" s="438"/>
      <c r="G38" s="438"/>
      <c r="H38" s="439">
        <f>SUM(H39:H43)</f>
        <v>69845038051</v>
      </c>
      <c r="I38" s="439"/>
      <c r="J38" s="439">
        <f ca="1">SUM(J39:J43)</f>
        <v>0</v>
      </c>
      <c r="K38" s="437"/>
      <c r="L38" s="439">
        <f ca="1">SUM(L39:L43)</f>
        <v>18399397218</v>
      </c>
      <c r="M38" s="439"/>
      <c r="N38" s="439">
        <f>SUM(N39:N43)</f>
        <v>31311087464</v>
      </c>
      <c r="O38" s="426" t="s">
        <v>1528</v>
      </c>
      <c r="P38" s="991">
        <f t="shared" si="3"/>
        <v>0</v>
      </c>
      <c r="Q38" s="441"/>
      <c r="R38" s="441"/>
      <c r="S38" s="441"/>
      <c r="T38" s="441"/>
      <c r="U38" s="441"/>
      <c r="V38" s="441"/>
      <c r="W38" s="441"/>
      <c r="X38" s="439"/>
      <c r="Y38" s="441"/>
      <c r="Z38" s="435"/>
      <c r="AA38" s="441"/>
      <c r="AB38" s="441"/>
      <c r="AC38" s="441"/>
    </row>
    <row r="39" spans="1:29" s="448" customFormat="1" ht="15.75" hidden="1">
      <c r="A39" s="443" t="s">
        <v>618</v>
      </c>
      <c r="B39" s="443"/>
      <c r="C39" s="444">
        <v>211</v>
      </c>
      <c r="D39" s="443"/>
      <c r="E39" s="438"/>
      <c r="F39" s="444"/>
      <c r="G39" s="444" t="s">
        <v>1272</v>
      </c>
      <c r="H39" s="446">
        <f>P39</f>
        <v>0</v>
      </c>
      <c r="I39" s="447"/>
      <c r="J39" s="447">
        <f ca="1">SUMIF('TH DC'!$B$7:$F$102,BS!G39,'TH DC'!$F$7:$F$102)</f>
        <v>0</v>
      </c>
      <c r="K39" s="443"/>
      <c r="L39" s="447">
        <f ca="1">J39+H39</f>
        <v>0</v>
      </c>
      <c r="M39" s="447"/>
      <c r="N39" s="447">
        <v>0</v>
      </c>
      <c r="O39" s="426" t="str">
        <f t="shared" ca="1" si="1"/>
        <v/>
      </c>
      <c r="P39" s="991">
        <f t="shared" si="3"/>
        <v>0</v>
      </c>
      <c r="Q39" s="449">
        <v>0</v>
      </c>
      <c r="R39" s="449">
        <v>0</v>
      </c>
      <c r="S39" s="449">
        <v>0</v>
      </c>
      <c r="T39" s="449">
        <v>0</v>
      </c>
      <c r="U39" s="449">
        <v>0</v>
      </c>
      <c r="V39" s="449">
        <v>0</v>
      </c>
      <c r="W39" s="449">
        <v>0</v>
      </c>
      <c r="X39" s="449">
        <v>0</v>
      </c>
      <c r="Y39" s="449"/>
      <c r="Z39" s="435">
        <f ca="1">L39-Y39</f>
        <v>0</v>
      </c>
      <c r="AA39" s="449"/>
      <c r="AB39" s="449"/>
      <c r="AC39" s="449"/>
    </row>
    <row r="40" spans="1:29" s="448" customFormat="1" ht="15.75" hidden="1">
      <c r="A40" s="450" t="s">
        <v>108</v>
      </c>
      <c r="B40" s="443"/>
      <c r="C40" s="444">
        <v>212</v>
      </c>
      <c r="D40" s="443"/>
      <c r="E40" s="445"/>
      <c r="F40" s="444"/>
      <c r="G40" s="444" t="s">
        <v>106</v>
      </c>
      <c r="H40" s="446">
        <f>P40</f>
        <v>0</v>
      </c>
      <c r="I40" s="447"/>
      <c r="J40" s="447">
        <f ca="1">SUMIF('TH DC'!$B$7:$F$102,BS!G40,'TH DC'!$F$7:$F$102)</f>
        <v>0</v>
      </c>
      <c r="K40" s="443"/>
      <c r="L40" s="447">
        <f ca="1">J40+H40</f>
        <v>0</v>
      </c>
      <c r="M40" s="447"/>
      <c r="N40" s="447">
        <v>0</v>
      </c>
      <c r="O40" s="426" t="str">
        <f ca="1">IF(OR(L40&lt;&gt;0,N40&lt;&gt;0),"print","")</f>
        <v/>
      </c>
      <c r="P40" s="991">
        <f t="shared" si="3"/>
        <v>0</v>
      </c>
      <c r="Q40" s="449">
        <v>0</v>
      </c>
      <c r="R40" s="449">
        <v>0</v>
      </c>
      <c r="S40" s="449">
        <v>0</v>
      </c>
      <c r="T40" s="449">
        <v>0</v>
      </c>
      <c r="U40" s="449">
        <v>0</v>
      </c>
      <c r="V40" s="449">
        <v>0</v>
      </c>
      <c r="W40" s="449">
        <v>0</v>
      </c>
      <c r="X40" s="449">
        <v>0</v>
      </c>
      <c r="Y40" s="449"/>
      <c r="Z40" s="435">
        <f ca="1">L40-Y40</f>
        <v>0</v>
      </c>
      <c r="AA40" s="449"/>
      <c r="AB40" s="449"/>
      <c r="AC40" s="449"/>
    </row>
    <row r="41" spans="1:29" s="448" customFormat="1" ht="15.75">
      <c r="A41" s="450" t="s">
        <v>473</v>
      </c>
      <c r="B41" s="443"/>
      <c r="C41" s="444">
        <v>213</v>
      </c>
      <c r="D41" s="443"/>
      <c r="E41" s="445"/>
      <c r="F41" s="444"/>
      <c r="G41" s="444" t="s">
        <v>1273</v>
      </c>
      <c r="H41" s="446">
        <v>69845038051</v>
      </c>
      <c r="I41" s="447"/>
      <c r="J41" s="447">
        <f ca="1">SUMIF('TH DC'!$B$7:$F$102,BS!G41,'TH DC'!$F$7:$F$102)</f>
        <v>0</v>
      </c>
      <c r="K41" s="443"/>
      <c r="L41" s="447">
        <v>18399397218</v>
      </c>
      <c r="M41" s="447"/>
      <c r="N41" s="447">
        <v>31311087464</v>
      </c>
      <c r="O41" s="426" t="str">
        <f t="shared" si="1"/>
        <v>print</v>
      </c>
      <c r="P41" s="991">
        <f t="shared" si="3"/>
        <v>0</v>
      </c>
      <c r="Q41" s="449">
        <v>0</v>
      </c>
      <c r="R41" s="449">
        <v>0</v>
      </c>
      <c r="S41" s="449">
        <v>0</v>
      </c>
      <c r="T41" s="449">
        <v>0</v>
      </c>
      <c r="U41" s="449">
        <v>0</v>
      </c>
      <c r="V41" s="449">
        <v>0</v>
      </c>
      <c r="W41" s="449">
        <v>0</v>
      </c>
      <c r="X41" s="449">
        <v>0</v>
      </c>
      <c r="Y41" s="449"/>
      <c r="Z41" s="435">
        <f>L41-Y41</f>
        <v>18399397218</v>
      </c>
      <c r="AA41" s="449"/>
      <c r="AB41" s="449"/>
      <c r="AC41" s="449"/>
    </row>
    <row r="42" spans="1:29" s="448" customFormat="1" ht="15.75" hidden="1">
      <c r="A42" s="450" t="s">
        <v>492</v>
      </c>
      <c r="B42" s="443"/>
      <c r="C42" s="444">
        <v>218</v>
      </c>
      <c r="D42" s="443"/>
      <c r="E42" s="445"/>
      <c r="F42" s="444"/>
      <c r="G42" s="444" t="s">
        <v>1274</v>
      </c>
      <c r="H42" s="446">
        <f>P42</f>
        <v>0</v>
      </c>
      <c r="I42" s="447"/>
      <c r="J42" s="447">
        <f ca="1">SUMIF('TH DC'!$B$7:$F$102,BS!G42,'TH DC'!$F$7:$F$102)</f>
        <v>0</v>
      </c>
      <c r="K42" s="443"/>
      <c r="L42" s="447">
        <f ca="1">J42+H42</f>
        <v>0</v>
      </c>
      <c r="M42" s="447"/>
      <c r="N42" s="447"/>
      <c r="O42" s="426" t="str">
        <f t="shared" ca="1" si="1"/>
        <v/>
      </c>
      <c r="P42" s="991">
        <f t="shared" si="3"/>
        <v>0</v>
      </c>
      <c r="Q42" s="449">
        <v>0</v>
      </c>
      <c r="R42" s="449">
        <v>0</v>
      </c>
      <c r="S42" s="449">
        <v>0</v>
      </c>
      <c r="T42" s="449">
        <v>0</v>
      </c>
      <c r="U42" s="449">
        <v>0</v>
      </c>
      <c r="V42" s="449">
        <v>0</v>
      </c>
      <c r="W42" s="449">
        <v>0</v>
      </c>
      <c r="X42" s="449">
        <v>0</v>
      </c>
      <c r="Y42" s="449"/>
      <c r="Z42" s="435">
        <f ca="1">L42-Y42</f>
        <v>0</v>
      </c>
      <c r="AA42" s="449"/>
      <c r="AB42" s="449"/>
      <c r="AC42" s="449"/>
    </row>
    <row r="43" spans="1:29" s="448" customFormat="1" ht="15.75" hidden="1">
      <c r="A43" s="450" t="s">
        <v>493</v>
      </c>
      <c r="B43" s="443"/>
      <c r="C43" s="444">
        <v>219</v>
      </c>
      <c r="D43" s="443"/>
      <c r="E43" s="438"/>
      <c r="F43" s="444"/>
      <c r="G43" s="444" t="s">
        <v>1461</v>
      </c>
      <c r="H43" s="446">
        <f>P43</f>
        <v>0</v>
      </c>
      <c r="I43" s="447"/>
      <c r="J43" s="447">
        <f ca="1">SUMIF('TH DC'!$B$7:$F$102,BS!G43,'TH DC'!$F$7:$F$102)</f>
        <v>0</v>
      </c>
      <c r="K43" s="443"/>
      <c r="L43" s="447">
        <f ca="1">J43+H43</f>
        <v>0</v>
      </c>
      <c r="M43" s="447"/>
      <c r="N43" s="447">
        <v>0</v>
      </c>
      <c r="O43" s="426" t="str">
        <f t="shared" ca="1" si="1"/>
        <v/>
      </c>
      <c r="P43" s="991">
        <f t="shared" si="3"/>
        <v>0</v>
      </c>
      <c r="Q43" s="449">
        <v>0</v>
      </c>
      <c r="R43" s="449">
        <v>0</v>
      </c>
      <c r="S43" s="449">
        <v>0</v>
      </c>
      <c r="T43" s="449">
        <v>0</v>
      </c>
      <c r="U43" s="449">
        <v>0</v>
      </c>
      <c r="V43" s="449">
        <v>0</v>
      </c>
      <c r="W43" s="449">
        <v>0</v>
      </c>
      <c r="X43" s="449">
        <v>0</v>
      </c>
      <c r="Y43" s="449"/>
      <c r="Z43" s="435">
        <f ca="1">L43-Y43</f>
        <v>0</v>
      </c>
      <c r="AA43" s="449"/>
      <c r="AB43" s="449"/>
      <c r="AC43" s="449"/>
    </row>
    <row r="44" spans="1:29" s="440" customFormat="1" ht="15.75">
      <c r="A44" s="436" t="s">
        <v>619</v>
      </c>
      <c r="B44" s="437"/>
      <c r="C44" s="438">
        <v>220</v>
      </c>
      <c r="D44" s="437"/>
      <c r="E44" s="438"/>
      <c r="F44" s="438"/>
      <c r="G44" s="438"/>
      <c r="H44" s="439">
        <f>H45+H48+H51+H54</f>
        <v>41873647153</v>
      </c>
      <c r="I44" s="439"/>
      <c r="J44" s="439">
        <f ca="1">J45+J48+J51+J54</f>
        <v>0</v>
      </c>
      <c r="K44" s="437"/>
      <c r="L44" s="439">
        <f>L45+L48+L51+L54</f>
        <v>73992300042</v>
      </c>
      <c r="M44" s="439"/>
      <c r="N44" s="439">
        <f>N45+N48+N51+N54</f>
        <v>77996423935</v>
      </c>
      <c r="O44" s="426" t="str">
        <f t="shared" si="1"/>
        <v>print</v>
      </c>
      <c r="P44" s="1140">
        <f t="shared" ref="P44:U44" si="9">P45+P48+P51+P54</f>
        <v>51971571321</v>
      </c>
      <c r="Q44" s="439">
        <f t="shared" si="9"/>
        <v>18951298646</v>
      </c>
      <c r="R44" s="439">
        <f t="shared" si="9"/>
        <v>9807468093</v>
      </c>
      <c r="S44" s="439">
        <f t="shared" si="9"/>
        <v>707159237</v>
      </c>
      <c r="T44" s="439">
        <f t="shared" si="9"/>
        <v>588603152</v>
      </c>
      <c r="U44" s="439">
        <f t="shared" si="9"/>
        <v>21917042193</v>
      </c>
      <c r="V44" s="441"/>
      <c r="W44" s="441"/>
      <c r="X44" s="439"/>
      <c r="Y44" s="441"/>
      <c r="Z44" s="435"/>
      <c r="AA44" s="441"/>
      <c r="AB44" s="441"/>
      <c r="AC44" s="441"/>
    </row>
    <row r="45" spans="1:29" s="461" customFormat="1" ht="18" customHeight="1">
      <c r="A45" s="457" t="s">
        <v>620</v>
      </c>
      <c r="B45" s="458"/>
      <c r="C45" s="459">
        <v>221</v>
      </c>
      <c r="D45" s="458"/>
      <c r="E45" s="445" t="s">
        <v>1182</v>
      </c>
      <c r="F45" s="438"/>
      <c r="G45" s="459"/>
      <c r="H45" s="460">
        <f>SUM(H46:H47)</f>
        <v>23573332123</v>
      </c>
      <c r="I45" s="460"/>
      <c r="J45" s="460">
        <f ca="1">SUM(J46:J47)</f>
        <v>0</v>
      </c>
      <c r="K45" s="458"/>
      <c r="L45" s="460">
        <f>SUM(L46:L47)</f>
        <v>54691433804</v>
      </c>
      <c r="M45" s="460"/>
      <c r="N45" s="460">
        <f>SUM(N46:N47)</f>
        <v>58891341199</v>
      </c>
      <c r="O45" s="426" t="str">
        <f t="shared" si="1"/>
        <v>print</v>
      </c>
      <c r="P45" s="1141">
        <f t="shared" ref="P45:U45" si="10">SUM(P46:P47)</f>
        <v>26012716765</v>
      </c>
      <c r="Q45" s="460">
        <f t="shared" si="10"/>
        <v>1870882590</v>
      </c>
      <c r="R45" s="460">
        <f t="shared" si="10"/>
        <v>6300989706</v>
      </c>
      <c r="S45" s="460">
        <f t="shared" si="10"/>
        <v>707159237</v>
      </c>
      <c r="T45" s="460">
        <f t="shared" si="10"/>
        <v>588603152</v>
      </c>
      <c r="U45" s="460">
        <f t="shared" si="10"/>
        <v>16545082080</v>
      </c>
      <c r="V45" s="462"/>
      <c r="W45" s="462"/>
      <c r="X45" s="460"/>
      <c r="Y45" s="462"/>
      <c r="Z45" s="435"/>
      <c r="AA45" s="462"/>
      <c r="AB45" s="462"/>
      <c r="AC45" s="462"/>
    </row>
    <row r="46" spans="1:29" s="468" customFormat="1" ht="18" customHeight="1">
      <c r="A46" s="463" t="s">
        <v>1322</v>
      </c>
      <c r="B46" s="464"/>
      <c r="C46" s="465">
        <v>222</v>
      </c>
      <c r="D46" s="464"/>
      <c r="E46" s="466"/>
      <c r="F46" s="466"/>
      <c r="G46" s="465" t="s">
        <v>1463</v>
      </c>
      <c r="H46" s="1190">
        <v>31438276850</v>
      </c>
      <c r="I46" s="467"/>
      <c r="J46" s="467">
        <f ca="1">SUMIF('TH DC'!$B$7:$F$102,BS!G46,'TH DC'!$F$7:$F$102)</f>
        <v>0</v>
      </c>
      <c r="K46" s="464"/>
      <c r="L46" s="460">
        <f>95555916604-21400555665</f>
        <v>74155360939</v>
      </c>
      <c r="M46" s="460"/>
      <c r="N46" s="460">
        <v>74155360939</v>
      </c>
      <c r="O46" s="1191" t="str">
        <f t="shared" si="1"/>
        <v>print</v>
      </c>
      <c r="P46" s="1192">
        <f t="shared" si="3"/>
        <v>37051435212</v>
      </c>
      <c r="Q46" s="469">
        <v>3978222825</v>
      </c>
      <c r="R46" s="469">
        <v>10729857500</v>
      </c>
      <c r="S46" s="469">
        <v>4266084863</v>
      </c>
      <c r="T46" s="469">
        <v>1055680663</v>
      </c>
      <c r="U46" s="469">
        <v>17021589361</v>
      </c>
      <c r="V46" s="469"/>
      <c r="W46" s="469"/>
      <c r="X46" s="469"/>
      <c r="Y46" s="469"/>
      <c r="Z46" s="1193">
        <f t="shared" ref="Z46:Z69" si="11">L46-Y46</f>
        <v>74155360939</v>
      </c>
      <c r="AA46" s="469"/>
      <c r="AB46" s="469"/>
      <c r="AC46" s="469"/>
    </row>
    <row r="47" spans="1:29" s="468" customFormat="1" ht="16.5">
      <c r="A47" s="463" t="s">
        <v>1323</v>
      </c>
      <c r="B47" s="464"/>
      <c r="C47" s="465">
        <v>223</v>
      </c>
      <c r="D47" s="464"/>
      <c r="E47" s="466"/>
      <c r="F47" s="466"/>
      <c r="G47" s="465" t="s">
        <v>1468</v>
      </c>
      <c r="H47" s="1190">
        <v>-7864944727</v>
      </c>
      <c r="I47" s="467"/>
      <c r="J47" s="467">
        <f ca="1">SUMIF('TH DC'!$B$7:$F$102,BS!G47,'TH DC'!$F$7:$F$102)</f>
        <v>0</v>
      </c>
      <c r="K47" s="464"/>
      <c r="L47" s="460">
        <f>-27952792554+8488865419</f>
        <v>-19463927135</v>
      </c>
      <c r="M47" s="460"/>
      <c r="N47" s="460">
        <v>-15264019740</v>
      </c>
      <c r="O47" s="1191" t="str">
        <f t="shared" si="1"/>
        <v>print</v>
      </c>
      <c r="P47" s="1192">
        <f t="shared" si="3"/>
        <v>-11038718447</v>
      </c>
      <c r="Q47" s="469">
        <v>-2107340235</v>
      </c>
      <c r="R47" s="469">
        <v>-4428867794</v>
      </c>
      <c r="S47" s="469">
        <v>-3558925626</v>
      </c>
      <c r="T47" s="469">
        <v>-467077511</v>
      </c>
      <c r="U47" s="469">
        <v>-476507281</v>
      </c>
      <c r="V47" s="469"/>
      <c r="W47" s="469"/>
      <c r="X47" s="469"/>
      <c r="Y47" s="469"/>
      <c r="Z47" s="1193">
        <f t="shared" si="11"/>
        <v>-19463927135</v>
      </c>
      <c r="AA47" s="469"/>
      <c r="AB47" s="469"/>
      <c r="AC47" s="469"/>
    </row>
    <row r="48" spans="1:29" s="448" customFormat="1" ht="15.75" hidden="1">
      <c r="A48" s="442" t="s">
        <v>621</v>
      </c>
      <c r="B48" s="443"/>
      <c r="C48" s="444">
        <v>224</v>
      </c>
      <c r="D48" s="443"/>
      <c r="E48" s="445"/>
      <c r="F48" s="438"/>
      <c r="G48" s="444"/>
      <c r="H48" s="447">
        <f>SUM(H49:H50)</f>
        <v>0</v>
      </c>
      <c r="I48" s="447"/>
      <c r="J48" s="447">
        <f>SUM(J49:J50)</f>
        <v>0</v>
      </c>
      <c r="K48" s="443"/>
      <c r="L48" s="447">
        <f>SUM(L49:L50)</f>
        <v>0</v>
      </c>
      <c r="M48" s="447"/>
      <c r="N48" s="447">
        <f>SUM(N49:N50)</f>
        <v>0</v>
      </c>
      <c r="O48" s="426" t="str">
        <f t="shared" si="1"/>
        <v/>
      </c>
      <c r="P48" s="991">
        <f t="shared" si="3"/>
        <v>0</v>
      </c>
      <c r="Q48" s="449">
        <v>0</v>
      </c>
      <c r="R48" s="449">
        <v>0</v>
      </c>
      <c r="S48" s="449">
        <v>0</v>
      </c>
      <c r="T48" s="449">
        <v>0</v>
      </c>
      <c r="U48" s="449">
        <v>0</v>
      </c>
      <c r="V48" s="449">
        <v>0</v>
      </c>
      <c r="W48" s="449">
        <v>0</v>
      </c>
      <c r="X48" s="449">
        <v>0</v>
      </c>
      <c r="Y48" s="449">
        <v>0</v>
      </c>
      <c r="Z48" s="435">
        <f t="shared" si="11"/>
        <v>0</v>
      </c>
      <c r="AA48" s="449"/>
      <c r="AB48" s="449"/>
      <c r="AC48" s="449"/>
    </row>
    <row r="49" spans="1:29" s="468" customFormat="1" ht="15.75" hidden="1">
      <c r="A49" s="463" t="s">
        <v>1322</v>
      </c>
      <c r="B49" s="464"/>
      <c r="C49" s="465">
        <v>225</v>
      </c>
      <c r="D49" s="464"/>
      <c r="E49" s="466"/>
      <c r="F49" s="466"/>
      <c r="G49" s="465" t="s">
        <v>1464</v>
      </c>
      <c r="H49" s="446">
        <f>P49</f>
        <v>0</v>
      </c>
      <c r="I49" s="447"/>
      <c r="J49" s="447"/>
      <c r="K49" s="464"/>
      <c r="L49" s="447"/>
      <c r="M49" s="467"/>
      <c r="N49" s="447"/>
      <c r="O49" s="426" t="str">
        <f t="shared" si="1"/>
        <v/>
      </c>
      <c r="P49" s="991">
        <f t="shared" si="3"/>
        <v>0</v>
      </c>
      <c r="Q49" s="469">
        <v>0</v>
      </c>
      <c r="R49" s="469">
        <v>0</v>
      </c>
      <c r="S49" s="469">
        <v>0</v>
      </c>
      <c r="T49" s="469">
        <v>0</v>
      </c>
      <c r="U49" s="469">
        <v>0</v>
      </c>
      <c r="V49" s="469">
        <v>0</v>
      </c>
      <c r="W49" s="469">
        <v>0</v>
      </c>
      <c r="X49" s="469">
        <v>0</v>
      </c>
      <c r="Y49" s="469">
        <v>0</v>
      </c>
      <c r="Z49" s="435">
        <f t="shared" si="11"/>
        <v>0</v>
      </c>
      <c r="AA49" s="469"/>
      <c r="AB49" s="469"/>
      <c r="AC49" s="469"/>
    </row>
    <row r="50" spans="1:29" s="468" customFormat="1" ht="15.75" hidden="1">
      <c r="A50" s="463" t="s">
        <v>1323</v>
      </c>
      <c r="B50" s="464"/>
      <c r="C50" s="465">
        <v>226</v>
      </c>
      <c r="D50" s="464"/>
      <c r="E50" s="466"/>
      <c r="F50" s="466"/>
      <c r="G50" s="465" t="s">
        <v>1469</v>
      </c>
      <c r="H50" s="446">
        <f>P50</f>
        <v>0</v>
      </c>
      <c r="I50" s="447"/>
      <c r="J50" s="447"/>
      <c r="K50" s="464"/>
      <c r="L50" s="447"/>
      <c r="M50" s="467"/>
      <c r="N50" s="447"/>
      <c r="O50" s="426" t="str">
        <f t="shared" si="1"/>
        <v/>
      </c>
      <c r="P50" s="991">
        <f t="shared" si="3"/>
        <v>0</v>
      </c>
      <c r="Q50" s="469">
        <v>0</v>
      </c>
      <c r="R50" s="469">
        <v>0</v>
      </c>
      <c r="S50" s="469">
        <v>0</v>
      </c>
      <c r="T50" s="469">
        <v>0</v>
      </c>
      <c r="U50" s="469">
        <v>0</v>
      </c>
      <c r="V50" s="469">
        <v>0</v>
      </c>
      <c r="W50" s="469">
        <v>0</v>
      </c>
      <c r="X50" s="469">
        <v>0</v>
      </c>
      <c r="Y50" s="469">
        <v>0</v>
      </c>
      <c r="Z50" s="435">
        <f t="shared" si="11"/>
        <v>0</v>
      </c>
      <c r="AA50" s="469"/>
      <c r="AB50" s="469"/>
      <c r="AC50" s="469"/>
    </row>
    <row r="51" spans="1:29" s="448" customFormat="1" ht="15.75">
      <c r="A51" s="450" t="s">
        <v>1224</v>
      </c>
      <c r="B51" s="443"/>
      <c r="C51" s="444">
        <v>227</v>
      </c>
      <c r="D51" s="443"/>
      <c r="E51" s="445" t="s">
        <v>1337</v>
      </c>
      <c r="F51" s="438"/>
      <c r="G51" s="444"/>
      <c r="H51" s="447">
        <f>SUM(H52:H53)</f>
        <v>33055564</v>
      </c>
      <c r="I51" s="447"/>
      <c r="J51" s="447">
        <f ca="1">SUM(J52:J53)</f>
        <v>0</v>
      </c>
      <c r="K51" s="443"/>
      <c r="L51" s="447">
        <f>SUM(L52:L53)</f>
        <v>21388900</v>
      </c>
      <c r="M51" s="447"/>
      <c r="N51" s="447">
        <f>SUM(N52:N53)</f>
        <v>27222232</v>
      </c>
      <c r="O51" s="426" t="str">
        <f t="shared" si="1"/>
        <v>print</v>
      </c>
      <c r="P51" s="1142">
        <f t="shared" ref="P51:U51" si="12">SUM(P52:P53)</f>
        <v>157314705</v>
      </c>
      <c r="Q51" s="447">
        <f t="shared" si="12"/>
        <v>157314705</v>
      </c>
      <c r="R51" s="447">
        <f t="shared" si="12"/>
        <v>0</v>
      </c>
      <c r="S51" s="447">
        <f t="shared" si="12"/>
        <v>0</v>
      </c>
      <c r="T51" s="447">
        <f t="shared" si="12"/>
        <v>0</v>
      </c>
      <c r="U51" s="447">
        <f t="shared" si="12"/>
        <v>0</v>
      </c>
      <c r="V51" s="449">
        <v>0</v>
      </c>
      <c r="W51" s="449">
        <v>0</v>
      </c>
      <c r="X51" s="449">
        <v>0</v>
      </c>
      <c r="Y51" s="449"/>
      <c r="Z51" s="435">
        <f t="shared" si="11"/>
        <v>21388900</v>
      </c>
      <c r="AA51" s="449"/>
      <c r="AB51" s="449"/>
      <c r="AC51" s="449"/>
    </row>
    <row r="52" spans="1:29" s="468" customFormat="1" ht="16.5">
      <c r="A52" s="464" t="s">
        <v>1322</v>
      </c>
      <c r="B52" s="464"/>
      <c r="C52" s="465">
        <v>228</v>
      </c>
      <c r="D52" s="464"/>
      <c r="E52" s="466"/>
      <c r="F52" s="466"/>
      <c r="G52" s="465" t="s">
        <v>1465</v>
      </c>
      <c r="H52" s="1190">
        <v>70000000</v>
      </c>
      <c r="I52" s="467"/>
      <c r="J52" s="467">
        <f ca="1">SUMIF('TH DC'!$B$7:$F$102,BS!G52,'TH DC'!$F$7:$F$102)</f>
        <v>0</v>
      </c>
      <c r="K52" s="464"/>
      <c r="L52" s="447">
        <v>70000000</v>
      </c>
      <c r="M52" s="447"/>
      <c r="N52" s="447">
        <v>70000000</v>
      </c>
      <c r="O52" s="1191" t="str">
        <f t="shared" si="1"/>
        <v>print</v>
      </c>
      <c r="P52" s="1192">
        <f t="shared" si="3"/>
        <v>1065511102</v>
      </c>
      <c r="Q52" s="469">
        <v>196643377</v>
      </c>
      <c r="R52" s="469">
        <v>868867725</v>
      </c>
      <c r="S52" s="469"/>
      <c r="T52" s="469"/>
      <c r="U52" s="469"/>
      <c r="V52" s="469"/>
      <c r="W52" s="469"/>
      <c r="X52" s="469"/>
      <c r="Y52" s="469"/>
      <c r="Z52" s="1193">
        <f t="shared" si="11"/>
        <v>70000000</v>
      </c>
      <c r="AA52" s="469"/>
      <c r="AB52" s="469"/>
      <c r="AC52" s="469"/>
    </row>
    <row r="53" spans="1:29" s="468" customFormat="1" ht="16.5">
      <c r="A53" s="464" t="s">
        <v>1323</v>
      </c>
      <c r="B53" s="464"/>
      <c r="C53" s="465">
        <v>229</v>
      </c>
      <c r="D53" s="464"/>
      <c r="E53" s="466"/>
      <c r="F53" s="466"/>
      <c r="G53" s="465" t="s">
        <v>1494</v>
      </c>
      <c r="H53" s="1190">
        <v>-36944436</v>
      </c>
      <c r="I53" s="467"/>
      <c r="J53" s="467">
        <f ca="1">SUMIF('TH DC'!$B$7:$F$102,BS!G53,'TH DC'!$F$7:$F$102)</f>
        <v>0</v>
      </c>
      <c r="K53" s="464"/>
      <c r="L53" s="447">
        <v>-48611100</v>
      </c>
      <c r="M53" s="447"/>
      <c r="N53" s="447">
        <v>-42777768</v>
      </c>
      <c r="O53" s="1191" t="str">
        <f t="shared" si="1"/>
        <v>print</v>
      </c>
      <c r="P53" s="1192">
        <f t="shared" si="3"/>
        <v>-908196397</v>
      </c>
      <c r="Q53" s="469">
        <v>-39328672</v>
      </c>
      <c r="R53" s="469">
        <v>-868867725</v>
      </c>
      <c r="S53" s="469"/>
      <c r="T53" s="469"/>
      <c r="U53" s="469"/>
      <c r="V53" s="469"/>
      <c r="W53" s="469"/>
      <c r="X53" s="469"/>
      <c r="Y53" s="469"/>
      <c r="Z53" s="1193">
        <f t="shared" si="11"/>
        <v>-48611100</v>
      </c>
      <c r="AA53" s="469"/>
      <c r="AB53" s="469"/>
      <c r="AC53" s="469"/>
    </row>
    <row r="54" spans="1:29" s="448" customFormat="1" ht="15.75">
      <c r="A54" s="453" t="s">
        <v>1225</v>
      </c>
      <c r="B54" s="443"/>
      <c r="C54" s="444">
        <v>230</v>
      </c>
      <c r="D54" s="443"/>
      <c r="E54" s="445" t="s">
        <v>1338</v>
      </c>
      <c r="F54" s="438"/>
      <c r="G54" s="444" t="s">
        <v>1466</v>
      </c>
      <c r="H54" s="446">
        <v>18267259466</v>
      </c>
      <c r="I54" s="447"/>
      <c r="J54" s="447">
        <f ca="1">SUMIF('TH DC'!$B$7:$F$102,BS!G54,'TH DC'!$F$7:$F$102)</f>
        <v>0</v>
      </c>
      <c r="K54" s="443"/>
      <c r="L54" s="447">
        <v>19279477338</v>
      </c>
      <c r="M54" s="447">
        <v>19077860504</v>
      </c>
      <c r="N54" s="447">
        <v>19077860504</v>
      </c>
      <c r="O54" s="426" t="str">
        <f t="shared" si="1"/>
        <v>print</v>
      </c>
      <c r="P54" s="991">
        <f t="shared" si="3"/>
        <v>25801539851</v>
      </c>
      <c r="Q54" s="449">
        <v>16923101351</v>
      </c>
      <c r="R54" s="449">
        <v>3506478387</v>
      </c>
      <c r="S54" s="449"/>
      <c r="T54" s="449"/>
      <c r="U54" s="449">
        <v>5371960113</v>
      </c>
      <c r="V54" s="449"/>
      <c r="W54" s="449"/>
      <c r="X54" s="449"/>
      <c r="Y54" s="449"/>
      <c r="Z54" s="435">
        <f t="shared" si="11"/>
        <v>19279477338</v>
      </c>
      <c r="AA54" s="449"/>
      <c r="AB54" s="449"/>
      <c r="AC54" s="449"/>
    </row>
    <row r="55" spans="1:29" s="448" customFormat="1" ht="2.25" customHeight="1">
      <c r="A55" s="442"/>
      <c r="B55" s="443"/>
      <c r="C55" s="444"/>
      <c r="D55" s="443"/>
      <c r="E55" s="438"/>
      <c r="F55" s="438"/>
      <c r="G55" s="444"/>
      <c r="H55" s="446"/>
      <c r="I55" s="447"/>
      <c r="J55" s="447"/>
      <c r="K55" s="443"/>
      <c r="L55" s="447"/>
      <c r="M55" s="447"/>
      <c r="N55" s="446"/>
      <c r="O55" s="426" t="s">
        <v>1528</v>
      </c>
      <c r="P55" s="991">
        <f t="shared" si="3"/>
        <v>0</v>
      </c>
      <c r="Q55" s="449">
        <v>0</v>
      </c>
      <c r="R55" s="449">
        <v>0</v>
      </c>
      <c r="S55" s="449">
        <v>0</v>
      </c>
      <c r="T55" s="449">
        <v>0</v>
      </c>
      <c r="U55" s="449">
        <v>0</v>
      </c>
      <c r="V55" s="449">
        <v>0</v>
      </c>
      <c r="W55" s="449">
        <v>0</v>
      </c>
      <c r="X55" s="449">
        <v>0</v>
      </c>
      <c r="Y55" s="449"/>
      <c r="Z55" s="435">
        <f t="shared" si="11"/>
        <v>0</v>
      </c>
      <c r="AA55" s="449"/>
      <c r="AB55" s="449"/>
      <c r="AC55" s="449"/>
    </row>
    <row r="56" spans="1:29" s="440" customFormat="1" ht="15.75">
      <c r="A56" s="437" t="s">
        <v>622</v>
      </c>
      <c r="B56" s="437"/>
      <c r="C56" s="438">
        <v>240</v>
      </c>
      <c r="D56" s="437"/>
      <c r="E56" s="445"/>
      <c r="F56" s="438"/>
      <c r="G56" s="438"/>
      <c r="H56" s="446">
        <f>SUM(H57:H58)</f>
        <v>0</v>
      </c>
      <c r="I56" s="439"/>
      <c r="J56" s="439">
        <f ca="1">SUM(J57:J58)</f>
        <v>0</v>
      </c>
      <c r="K56" s="437"/>
      <c r="L56" s="439">
        <f ca="1">SUM(L57:L58)</f>
        <v>0</v>
      </c>
      <c r="M56" s="439"/>
      <c r="N56" s="439">
        <f>SUM(N57:N58)</f>
        <v>0</v>
      </c>
      <c r="O56" s="426" t="str">
        <f t="shared" ca="1" si="1"/>
        <v/>
      </c>
      <c r="P56" s="991">
        <f t="shared" si="3"/>
        <v>0</v>
      </c>
      <c r="Q56" s="441">
        <v>0</v>
      </c>
      <c r="R56" s="441">
        <v>0</v>
      </c>
      <c r="S56" s="441">
        <v>0</v>
      </c>
      <c r="T56" s="441">
        <v>0</v>
      </c>
      <c r="U56" s="441">
        <v>0</v>
      </c>
      <c r="V56" s="441">
        <v>0</v>
      </c>
      <c r="W56" s="441">
        <v>0</v>
      </c>
      <c r="X56" s="441">
        <v>0</v>
      </c>
      <c r="Y56" s="441">
        <v>17236325784</v>
      </c>
      <c r="Z56" s="435">
        <f t="shared" ca="1" si="11"/>
        <v>-17236325784</v>
      </c>
      <c r="AA56" s="441"/>
      <c r="AB56" s="441"/>
      <c r="AC56" s="441"/>
    </row>
    <row r="57" spans="1:29" s="468" customFormat="1" ht="18" hidden="1" customHeight="1">
      <c r="A57" s="464" t="s">
        <v>1322</v>
      </c>
      <c r="B57" s="464"/>
      <c r="C57" s="465">
        <v>241</v>
      </c>
      <c r="D57" s="464"/>
      <c r="E57" s="466"/>
      <c r="F57" s="465"/>
      <c r="G57" s="465" t="s">
        <v>1467</v>
      </c>
      <c r="H57" s="446">
        <f>P57</f>
        <v>0</v>
      </c>
      <c r="I57" s="447"/>
      <c r="J57" s="467">
        <f ca="1">SUMIF('TH DC'!$B$7:$F$102,BS!G57,'TH DC'!$F$7:$F$102)</f>
        <v>0</v>
      </c>
      <c r="K57" s="464"/>
      <c r="L57" s="447">
        <f ca="1">J57+H57</f>
        <v>0</v>
      </c>
      <c r="M57" s="467"/>
      <c r="N57" s="447">
        <v>0</v>
      </c>
      <c r="O57" s="426" t="str">
        <f t="shared" ca="1" si="1"/>
        <v/>
      </c>
      <c r="P57" s="991">
        <f t="shared" si="3"/>
        <v>0</v>
      </c>
      <c r="Q57" s="469">
        <v>0</v>
      </c>
      <c r="R57" s="469">
        <v>0</v>
      </c>
      <c r="S57" s="469">
        <v>0</v>
      </c>
      <c r="T57" s="469">
        <v>0</v>
      </c>
      <c r="U57" s="469">
        <v>0</v>
      </c>
      <c r="V57" s="469">
        <v>0</v>
      </c>
      <c r="W57" s="469">
        <v>0</v>
      </c>
      <c r="X57" s="469">
        <v>0</v>
      </c>
      <c r="Y57" s="469"/>
      <c r="Z57" s="435">
        <f t="shared" ca="1" si="11"/>
        <v>0</v>
      </c>
      <c r="AA57" s="469"/>
      <c r="AB57" s="469"/>
      <c r="AC57" s="469"/>
    </row>
    <row r="58" spans="1:29" s="468" customFormat="1" ht="18" hidden="1" customHeight="1">
      <c r="A58" s="464" t="s">
        <v>1323</v>
      </c>
      <c r="B58" s="464"/>
      <c r="C58" s="465">
        <v>242</v>
      </c>
      <c r="D58" s="464"/>
      <c r="E58" s="466"/>
      <c r="F58" s="465"/>
      <c r="G58" s="465" t="s">
        <v>1495</v>
      </c>
      <c r="H58" s="446">
        <f>P58</f>
        <v>0</v>
      </c>
      <c r="I58" s="447"/>
      <c r="J58" s="467">
        <f ca="1">SUMIF('TH DC'!$B$7:$F$102,BS!G58,'TH DC'!$F$7:$F$102)</f>
        <v>0</v>
      </c>
      <c r="K58" s="464"/>
      <c r="L58" s="447">
        <f ca="1">J58+H58</f>
        <v>0</v>
      </c>
      <c r="M58" s="467"/>
      <c r="N58" s="447">
        <v>0</v>
      </c>
      <c r="O58" s="426" t="str">
        <f t="shared" ca="1" si="1"/>
        <v/>
      </c>
      <c r="P58" s="991">
        <f t="shared" si="3"/>
        <v>0</v>
      </c>
      <c r="Q58" s="469">
        <v>0</v>
      </c>
      <c r="R58" s="469">
        <v>0</v>
      </c>
      <c r="S58" s="469">
        <v>0</v>
      </c>
      <c r="T58" s="469">
        <v>0</v>
      </c>
      <c r="U58" s="469">
        <v>0</v>
      </c>
      <c r="V58" s="469">
        <v>0</v>
      </c>
      <c r="W58" s="469">
        <v>0</v>
      </c>
      <c r="X58" s="469">
        <v>0</v>
      </c>
      <c r="Y58" s="469"/>
      <c r="Z58" s="435">
        <f t="shared" ca="1" si="11"/>
        <v>0</v>
      </c>
      <c r="AA58" s="469"/>
      <c r="AB58" s="469"/>
      <c r="AC58" s="469"/>
    </row>
    <row r="59" spans="1:29" s="468" customFormat="1" ht="9" hidden="1" customHeight="1">
      <c r="A59" s="464"/>
      <c r="B59" s="464"/>
      <c r="C59" s="465"/>
      <c r="D59" s="464"/>
      <c r="E59" s="466"/>
      <c r="F59" s="465"/>
      <c r="G59" s="465"/>
      <c r="H59" s="446"/>
      <c r="I59" s="447"/>
      <c r="J59" s="467"/>
      <c r="K59" s="464"/>
      <c r="L59" s="447"/>
      <c r="M59" s="467"/>
      <c r="N59" s="447"/>
      <c r="O59" s="426"/>
      <c r="P59" s="991">
        <f t="shared" si="3"/>
        <v>0</v>
      </c>
      <c r="Q59" s="469">
        <v>0</v>
      </c>
      <c r="R59" s="469">
        <v>0</v>
      </c>
      <c r="S59" s="469">
        <v>0</v>
      </c>
      <c r="T59" s="469">
        <v>0</v>
      </c>
      <c r="U59" s="469">
        <v>0</v>
      </c>
      <c r="V59" s="469">
        <v>0</v>
      </c>
      <c r="W59" s="469">
        <v>0</v>
      </c>
      <c r="X59" s="469">
        <v>0</v>
      </c>
      <c r="Y59" s="469"/>
      <c r="Z59" s="435">
        <f t="shared" si="11"/>
        <v>0</v>
      </c>
      <c r="AA59" s="469"/>
      <c r="AB59" s="469"/>
      <c r="AC59" s="469"/>
    </row>
    <row r="60" spans="1:29" s="440" customFormat="1" ht="15.75">
      <c r="A60" s="470" t="s">
        <v>1676</v>
      </c>
      <c r="B60" s="437"/>
      <c r="C60" s="438">
        <v>250</v>
      </c>
      <c r="D60" s="437"/>
      <c r="E60" s="445"/>
      <c r="F60" s="438"/>
      <c r="G60" s="438"/>
      <c r="H60" s="1199">
        <f>SUM(H61:H64)</f>
        <v>72560661267</v>
      </c>
      <c r="I60" s="439"/>
      <c r="J60" s="439">
        <f ca="1">SUM(J61:J64)</f>
        <v>0</v>
      </c>
      <c r="K60" s="437"/>
      <c r="L60" s="439">
        <f>SUM(L61:L64)</f>
        <v>55583562648</v>
      </c>
      <c r="M60" s="439"/>
      <c r="N60" s="439">
        <f>SUM(N61:N64)</f>
        <v>36733664082</v>
      </c>
      <c r="O60" s="426" t="s">
        <v>1528</v>
      </c>
      <c r="P60" s="991">
        <f t="shared" si="3"/>
        <v>0</v>
      </c>
      <c r="Q60" s="441">
        <v>0</v>
      </c>
      <c r="R60" s="441">
        <v>0</v>
      </c>
      <c r="S60" s="441">
        <v>0</v>
      </c>
      <c r="T60" s="441">
        <v>0</v>
      </c>
      <c r="U60" s="441">
        <v>0</v>
      </c>
      <c r="V60" s="441">
        <v>0</v>
      </c>
      <c r="W60" s="441">
        <v>0</v>
      </c>
      <c r="X60" s="441">
        <v>0</v>
      </c>
      <c r="Y60" s="439">
        <f>SUM(Y61:Y64)</f>
        <v>0</v>
      </c>
      <c r="Z60" s="435">
        <f t="shared" si="11"/>
        <v>55583562648</v>
      </c>
      <c r="AA60" s="441"/>
      <c r="AB60" s="441"/>
      <c r="AC60" s="441"/>
    </row>
    <row r="61" spans="1:29" s="448" customFormat="1" ht="15.75">
      <c r="A61" s="443" t="s">
        <v>624</v>
      </c>
      <c r="B61" s="443"/>
      <c r="C61" s="444">
        <v>251</v>
      </c>
      <c r="D61" s="443"/>
      <c r="E61" s="438"/>
      <c r="F61" s="444"/>
      <c r="G61" s="444" t="s">
        <v>1471</v>
      </c>
      <c r="H61" s="446">
        <v>33626484267</v>
      </c>
      <c r="I61" s="447"/>
      <c r="J61" s="447">
        <f ca="1">SUMIF('TH DC'!$B$7:$F$102,BS!G61,'TH DC'!$F$7:$F$102)</f>
        <v>0</v>
      </c>
      <c r="K61" s="443"/>
      <c r="L61" s="447">
        <f>15897438406+17729045861</f>
        <v>33626484267</v>
      </c>
      <c r="M61" s="447"/>
      <c r="N61" s="447">
        <v>33626484267</v>
      </c>
      <c r="O61" s="426" t="str">
        <f t="shared" si="1"/>
        <v>print</v>
      </c>
      <c r="P61" s="991">
        <f t="shared" si="3"/>
        <v>0</v>
      </c>
      <c r="Q61" s="449">
        <v>0</v>
      </c>
      <c r="R61" s="449">
        <v>0</v>
      </c>
      <c r="S61" s="449">
        <v>0</v>
      </c>
      <c r="T61" s="449">
        <v>0</v>
      </c>
      <c r="U61" s="449">
        <v>0</v>
      </c>
      <c r="V61" s="449">
        <v>0</v>
      </c>
      <c r="W61" s="449">
        <v>0</v>
      </c>
      <c r="X61" s="449">
        <v>0</v>
      </c>
      <c r="Y61" s="449"/>
      <c r="Z61" s="435">
        <f t="shared" si="11"/>
        <v>33626484267</v>
      </c>
      <c r="AA61" s="449"/>
      <c r="AB61" s="449"/>
      <c r="AC61" s="449"/>
    </row>
    <row r="62" spans="1:29" s="448" customFormat="1" ht="15.75">
      <c r="A62" s="443" t="s">
        <v>623</v>
      </c>
      <c r="B62" s="443"/>
      <c r="C62" s="444">
        <v>252</v>
      </c>
      <c r="D62" s="443"/>
      <c r="E62" s="438"/>
      <c r="F62" s="444"/>
      <c r="G62" s="444" t="s">
        <v>1462</v>
      </c>
      <c r="H62" s="446"/>
      <c r="I62" s="447"/>
      <c r="J62" s="447">
        <f ca="1">SUMIF('TH DC'!$B$7:$F$102,BS!G62,'TH DC'!$F$7:$F$102)</f>
        <v>0</v>
      </c>
      <c r="K62" s="443"/>
      <c r="L62" s="447">
        <v>0</v>
      </c>
      <c r="M62" s="447"/>
      <c r="N62" s="447">
        <v>0</v>
      </c>
      <c r="O62" s="426" t="str">
        <f t="shared" si="1"/>
        <v/>
      </c>
      <c r="P62" s="991">
        <f t="shared" si="3"/>
        <v>0</v>
      </c>
      <c r="Q62" s="449">
        <v>0</v>
      </c>
      <c r="R62" s="449">
        <v>0</v>
      </c>
      <c r="S62" s="449">
        <v>0</v>
      </c>
      <c r="T62" s="449">
        <v>0</v>
      </c>
      <c r="U62" s="449">
        <v>0</v>
      </c>
      <c r="V62" s="449">
        <v>0</v>
      </c>
      <c r="W62" s="449">
        <v>0</v>
      </c>
      <c r="X62" s="449">
        <v>0</v>
      </c>
      <c r="Y62" s="449"/>
      <c r="Z62" s="435">
        <f t="shared" si="11"/>
        <v>0</v>
      </c>
      <c r="AA62" s="449"/>
      <c r="AB62" s="449"/>
      <c r="AC62" s="449"/>
    </row>
    <row r="63" spans="1:29" s="448" customFormat="1" ht="15.75">
      <c r="A63" s="450" t="s">
        <v>1369</v>
      </c>
      <c r="B63" s="443"/>
      <c r="C63" s="444">
        <v>258</v>
      </c>
      <c r="D63" s="443"/>
      <c r="E63" s="445" t="s">
        <v>1339</v>
      </c>
      <c r="F63" s="444"/>
      <c r="G63" s="444" t="s">
        <v>1470</v>
      </c>
      <c r="H63" s="446">
        <v>38934177000</v>
      </c>
      <c r="I63" s="447"/>
      <c r="J63" s="447">
        <f ca="1">SUMIF('TH DC'!$B$7:$F$102,BS!G63,'TH DC'!$F$7:$F$102)</f>
        <v>0</v>
      </c>
      <c r="K63" s="443"/>
      <c r="L63" s="447">
        <v>38173463082</v>
      </c>
      <c r="M63" s="447"/>
      <c r="N63" s="447">
        <v>36733664082</v>
      </c>
      <c r="O63" s="426" t="str">
        <f t="shared" si="1"/>
        <v>print</v>
      </c>
      <c r="P63" s="991">
        <f t="shared" si="3"/>
        <v>0</v>
      </c>
      <c r="Q63" s="449">
        <v>0</v>
      </c>
      <c r="R63" s="449">
        <v>0</v>
      </c>
      <c r="S63" s="449">
        <v>0</v>
      </c>
      <c r="T63" s="449">
        <v>0</v>
      </c>
      <c r="U63" s="449">
        <v>0</v>
      </c>
      <c r="V63" s="449">
        <v>0</v>
      </c>
      <c r="W63" s="449">
        <v>0</v>
      </c>
      <c r="X63" s="449">
        <v>0</v>
      </c>
      <c r="Y63" s="449"/>
      <c r="Z63" s="435">
        <f t="shared" si="11"/>
        <v>38173463082</v>
      </c>
      <c r="AA63" s="449"/>
      <c r="AB63" s="449"/>
      <c r="AC63" s="449"/>
    </row>
    <row r="64" spans="1:29" s="448" customFormat="1" ht="18" customHeight="1">
      <c r="A64" s="450" t="s">
        <v>1370</v>
      </c>
      <c r="B64" s="450"/>
      <c r="C64" s="444">
        <v>259</v>
      </c>
      <c r="D64" s="450"/>
      <c r="E64" s="438"/>
      <c r="F64" s="444"/>
      <c r="G64" s="444" t="s">
        <v>1472</v>
      </c>
      <c r="H64" s="446"/>
      <c r="I64" s="447"/>
      <c r="J64" s="447">
        <f ca="1">SUMIF('TH DC'!$B$7:$F$102,BS!G64,'TH DC'!$F$7:$F$102)</f>
        <v>0</v>
      </c>
      <c r="K64" s="450"/>
      <c r="L64" s="447">
        <f>N64+17000000000-9789900434+10200000000</f>
        <v>-16216384701</v>
      </c>
      <c r="M64" s="447"/>
      <c r="N64" s="447">
        <v>-33626484267</v>
      </c>
      <c r="O64" s="426" t="str">
        <f t="shared" si="1"/>
        <v>print</v>
      </c>
      <c r="P64" s="991">
        <f t="shared" si="3"/>
        <v>0</v>
      </c>
      <c r="Q64" s="449">
        <v>0</v>
      </c>
      <c r="R64" s="449">
        <v>0</v>
      </c>
      <c r="S64" s="449">
        <v>0</v>
      </c>
      <c r="T64" s="449">
        <v>0</v>
      </c>
      <c r="U64" s="449">
        <v>0</v>
      </c>
      <c r="V64" s="449">
        <v>0</v>
      </c>
      <c r="W64" s="449">
        <v>0</v>
      </c>
      <c r="X64" s="449">
        <v>0</v>
      </c>
      <c r="Y64" s="449"/>
      <c r="Z64" s="435">
        <f t="shared" si="11"/>
        <v>-16216384701</v>
      </c>
      <c r="AA64" s="449"/>
      <c r="AB64" s="449"/>
      <c r="AC64" s="449"/>
    </row>
    <row r="65" spans="1:29" s="448" customFormat="1" ht="2.25" customHeight="1">
      <c r="A65" s="450"/>
      <c r="B65" s="450"/>
      <c r="C65" s="444"/>
      <c r="D65" s="450"/>
      <c r="E65" s="438"/>
      <c r="F65" s="444"/>
      <c r="G65" s="444"/>
      <c r="H65" s="447"/>
      <c r="I65" s="447"/>
      <c r="J65" s="447"/>
      <c r="K65" s="450"/>
      <c r="L65" s="447"/>
      <c r="M65" s="471"/>
      <c r="N65" s="447"/>
      <c r="O65" s="426" t="s">
        <v>1528</v>
      </c>
      <c r="P65" s="991">
        <f t="shared" si="3"/>
        <v>0</v>
      </c>
      <c r="Q65" s="449">
        <v>0</v>
      </c>
      <c r="R65" s="449">
        <v>0</v>
      </c>
      <c r="S65" s="449">
        <v>0</v>
      </c>
      <c r="T65" s="449">
        <v>0</v>
      </c>
      <c r="U65" s="449">
        <v>0</v>
      </c>
      <c r="V65" s="449">
        <v>0</v>
      </c>
      <c r="W65" s="449">
        <v>0</v>
      </c>
      <c r="X65" s="449">
        <v>0</v>
      </c>
      <c r="Y65" s="449"/>
      <c r="Z65" s="435">
        <f t="shared" si="11"/>
        <v>0</v>
      </c>
      <c r="AA65" s="449"/>
      <c r="AB65" s="449"/>
      <c r="AC65" s="449"/>
    </row>
    <row r="66" spans="1:29" s="440" customFormat="1" ht="18" customHeight="1">
      <c r="A66" s="470" t="s">
        <v>1677</v>
      </c>
      <c r="B66" s="437"/>
      <c r="C66" s="438">
        <v>260</v>
      </c>
      <c r="D66" s="437"/>
      <c r="E66" s="438"/>
      <c r="F66" s="438"/>
      <c r="G66" s="438"/>
      <c r="H66" s="439">
        <f>SUM(H67:H69)</f>
        <v>7635968504</v>
      </c>
      <c r="I66" s="439"/>
      <c r="J66" s="439">
        <f ca="1">SUM(J67:J69)</f>
        <v>0</v>
      </c>
      <c r="K66" s="437"/>
      <c r="L66" s="439">
        <f ca="1">SUM(L67:L69)</f>
        <v>9643976973</v>
      </c>
      <c r="M66" s="439"/>
      <c r="N66" s="439">
        <f>SUM(N67:N69)</f>
        <v>26522776116</v>
      </c>
      <c r="O66" s="426" t="str">
        <f t="shared" ca="1" si="1"/>
        <v>print</v>
      </c>
      <c r="P66" s="1140">
        <f t="shared" ref="P66:U66" si="13">SUM(P67:P69)</f>
        <v>4865345710</v>
      </c>
      <c r="Q66" s="439">
        <f t="shared" si="13"/>
        <v>1659089984</v>
      </c>
      <c r="R66" s="439">
        <f t="shared" si="13"/>
        <v>2969114122</v>
      </c>
      <c r="S66" s="439">
        <f t="shared" si="13"/>
        <v>38483725</v>
      </c>
      <c r="T66" s="439">
        <f t="shared" si="13"/>
        <v>11142852</v>
      </c>
      <c r="U66" s="439">
        <f t="shared" si="13"/>
        <v>187515027</v>
      </c>
      <c r="V66" s="441">
        <v>0</v>
      </c>
      <c r="W66" s="441"/>
      <c r="X66" s="441">
        <v>0</v>
      </c>
      <c r="Y66" s="439">
        <f>SUM(Y67:Y69)</f>
        <v>0</v>
      </c>
      <c r="Z66" s="435">
        <f t="shared" ca="1" si="11"/>
        <v>9643976973</v>
      </c>
      <c r="AA66" s="441"/>
      <c r="AB66" s="441"/>
      <c r="AC66" s="441"/>
    </row>
    <row r="67" spans="1:29" s="448" customFormat="1" ht="15.75">
      <c r="A67" s="442" t="s">
        <v>625</v>
      </c>
      <c r="B67" s="443"/>
      <c r="C67" s="444">
        <v>261</v>
      </c>
      <c r="D67" s="443"/>
      <c r="E67" s="1506" t="s">
        <v>1340</v>
      </c>
      <c r="F67" s="444"/>
      <c r="G67" s="444" t="s">
        <v>1473</v>
      </c>
      <c r="H67" s="446">
        <v>7624614504</v>
      </c>
      <c r="I67" s="447"/>
      <c r="J67" s="447">
        <f ca="1">SUMIF('TH DC'!$B$7:$F$102,BS!G67,'TH DC'!$F$7:$F$102)</f>
        <v>0</v>
      </c>
      <c r="K67" s="443"/>
      <c r="L67" s="447">
        <f>33778828188-24134851215</f>
        <v>9643976973</v>
      </c>
      <c r="M67" s="447"/>
      <c r="N67" s="447">
        <v>26522776116</v>
      </c>
      <c r="O67" s="426" t="str">
        <f t="shared" si="1"/>
        <v>print</v>
      </c>
      <c r="P67" s="991">
        <f t="shared" si="3"/>
        <v>4860345710</v>
      </c>
      <c r="Q67" s="449">
        <v>1659089984</v>
      </c>
      <c r="R67" s="449">
        <v>2969114122</v>
      </c>
      <c r="S67" s="449">
        <v>33483725</v>
      </c>
      <c r="T67" s="449">
        <v>11142852</v>
      </c>
      <c r="U67" s="449">
        <v>187515027</v>
      </c>
      <c r="V67" s="449">
        <v>0</v>
      </c>
      <c r="W67" s="449"/>
      <c r="X67" s="449">
        <v>0</v>
      </c>
      <c r="Y67" s="449"/>
      <c r="Z67" s="435">
        <f t="shared" si="11"/>
        <v>9643976973</v>
      </c>
      <c r="AA67" s="449"/>
      <c r="AB67" s="449"/>
      <c r="AC67" s="449"/>
    </row>
    <row r="68" spans="1:29" s="448" customFormat="1" ht="15.75" hidden="1">
      <c r="A68" s="443" t="s">
        <v>626</v>
      </c>
      <c r="B68" s="443"/>
      <c r="C68" s="444">
        <v>262</v>
      </c>
      <c r="D68" s="443"/>
      <c r="E68" s="445"/>
      <c r="F68" s="444"/>
      <c r="G68" s="444" t="s">
        <v>1474</v>
      </c>
      <c r="H68" s="446"/>
      <c r="I68" s="447"/>
      <c r="J68" s="447">
        <f ca="1">SUMIF('TH DC'!$B$7:$F$102,BS!G68,'TH DC'!$F$7:$F$102)</f>
        <v>0</v>
      </c>
      <c r="K68" s="443"/>
      <c r="L68" s="447">
        <f ca="1">J68+H68</f>
        <v>0</v>
      </c>
      <c r="M68" s="447"/>
      <c r="N68" s="446"/>
      <c r="O68" s="426" t="str">
        <f t="shared" ca="1" si="1"/>
        <v/>
      </c>
      <c r="P68" s="991">
        <f t="shared" si="3"/>
        <v>0</v>
      </c>
      <c r="Q68" s="449">
        <v>0</v>
      </c>
      <c r="R68" s="449">
        <v>0</v>
      </c>
      <c r="S68" s="449">
        <v>0</v>
      </c>
      <c r="T68" s="449">
        <v>0</v>
      </c>
      <c r="U68" s="449">
        <v>0</v>
      </c>
      <c r="V68" s="449">
        <v>0</v>
      </c>
      <c r="W68" s="449">
        <v>0</v>
      </c>
      <c r="X68" s="449">
        <v>0</v>
      </c>
      <c r="Y68" s="449"/>
      <c r="Z68" s="435">
        <f t="shared" ca="1" si="11"/>
        <v>0</v>
      </c>
      <c r="AA68" s="449"/>
      <c r="AB68" s="449"/>
      <c r="AC68" s="449"/>
    </row>
    <row r="69" spans="1:29" s="448" customFormat="1" ht="15.75" hidden="1">
      <c r="A69" s="450" t="s">
        <v>1223</v>
      </c>
      <c r="B69" s="443"/>
      <c r="C69" s="444">
        <v>268</v>
      </c>
      <c r="D69" s="443"/>
      <c r="E69" s="438"/>
      <c r="F69" s="444"/>
      <c r="G69" s="444" t="s">
        <v>1475</v>
      </c>
      <c r="H69" s="446">
        <v>11354000</v>
      </c>
      <c r="I69" s="447"/>
      <c r="J69" s="447">
        <f ca="1">SUMIF('TH DC'!$B$7:$F$102,BS!G69,'TH DC'!$F$7:$F$102)</f>
        <v>0</v>
      </c>
      <c r="K69" s="443"/>
      <c r="L69" s="447">
        <v>0</v>
      </c>
      <c r="M69" s="447"/>
      <c r="N69" s="446">
        <v>0</v>
      </c>
      <c r="O69" s="426" t="str">
        <f t="shared" si="1"/>
        <v/>
      </c>
      <c r="P69" s="991">
        <f t="shared" si="3"/>
        <v>5000000</v>
      </c>
      <c r="Q69" s="449">
        <v>0</v>
      </c>
      <c r="R69" s="449">
        <v>0</v>
      </c>
      <c r="S69" s="449">
        <v>5000000</v>
      </c>
      <c r="T69" s="449">
        <v>0</v>
      </c>
      <c r="U69" s="449">
        <v>0</v>
      </c>
      <c r="V69" s="449">
        <v>0</v>
      </c>
      <c r="W69" s="449">
        <v>0</v>
      </c>
      <c r="X69" s="449">
        <v>0</v>
      </c>
      <c r="Y69" s="449"/>
      <c r="Z69" s="435">
        <f t="shared" si="11"/>
        <v>0</v>
      </c>
      <c r="AA69" s="449"/>
      <c r="AB69" s="449"/>
      <c r="AC69" s="449"/>
    </row>
    <row r="70" spans="1:29" s="481" customFormat="1" ht="24.95" customHeight="1">
      <c r="A70" s="400" t="s">
        <v>627</v>
      </c>
      <c r="B70" s="401"/>
      <c r="C70" s="402">
        <v>270</v>
      </c>
      <c r="D70" s="401"/>
      <c r="E70" s="402"/>
      <c r="F70" s="403"/>
      <c r="G70" s="475"/>
      <c r="H70" s="476">
        <f>H11+H37</f>
        <v>633120180312</v>
      </c>
      <c r="I70" s="477"/>
      <c r="J70" s="476">
        <f ca="1">J11+J37</f>
        <v>0</v>
      </c>
      <c r="K70" s="401"/>
      <c r="L70" s="476">
        <f ca="1">L11+L37</f>
        <v>695240231560</v>
      </c>
      <c r="M70" s="478"/>
      <c r="N70" s="476">
        <f>N11+N37</f>
        <v>620942249286</v>
      </c>
      <c r="O70" s="426" t="str">
        <f t="shared" ca="1" si="1"/>
        <v>print</v>
      </c>
      <c r="P70" s="476">
        <f t="shared" ref="P70:U70" si="14">P11+P37</f>
        <v>110136684113</v>
      </c>
      <c r="Q70" s="476">
        <f t="shared" si="14"/>
        <v>72898610133</v>
      </c>
      <c r="R70" s="476">
        <f t="shared" si="14"/>
        <v>3952364981</v>
      </c>
      <c r="S70" s="476">
        <f t="shared" si="14"/>
        <v>5679557229</v>
      </c>
      <c r="T70" s="476">
        <f t="shared" si="14"/>
        <v>1222683572</v>
      </c>
      <c r="U70" s="476">
        <f t="shared" si="14"/>
        <v>26383468198</v>
      </c>
      <c r="V70" s="480"/>
      <c r="W70" s="480"/>
      <c r="X70" s="480"/>
      <c r="Y70" s="480"/>
      <c r="Z70" s="435"/>
      <c r="AA70" s="480"/>
      <c r="AB70" s="480"/>
      <c r="AC70" s="480"/>
    </row>
    <row r="71" spans="1:29" s="482" customFormat="1" ht="15" customHeight="1">
      <c r="A71" s="1638" t="s">
        <v>640</v>
      </c>
      <c r="B71" s="1639"/>
      <c r="C71" s="1639"/>
      <c r="D71" s="1639"/>
      <c r="E71" s="1639"/>
      <c r="F71" s="1639"/>
      <c r="G71" s="1639"/>
      <c r="H71" s="1639"/>
      <c r="I71" s="1639"/>
      <c r="J71" s="1639"/>
      <c r="K71" s="1639"/>
      <c r="L71" s="1639"/>
      <c r="M71" s="1639"/>
      <c r="N71" s="1639"/>
      <c r="O71" s="426" t="s">
        <v>1528</v>
      </c>
      <c r="P71" s="991">
        <f t="shared" si="3"/>
        <v>0</v>
      </c>
      <c r="Q71" s="483"/>
      <c r="R71" s="483"/>
      <c r="S71" s="483"/>
      <c r="T71" s="483"/>
      <c r="U71" s="483"/>
      <c r="V71" s="483"/>
      <c r="W71" s="483"/>
      <c r="X71" s="483"/>
      <c r="Y71" s="483"/>
      <c r="Z71" s="435">
        <f>L71-Y71</f>
        <v>0</v>
      </c>
      <c r="AA71" s="483"/>
      <c r="AB71" s="483"/>
      <c r="AC71" s="483"/>
    </row>
    <row r="72" spans="1:29" s="482" customFormat="1" ht="12.75" customHeight="1">
      <c r="A72" s="484"/>
      <c r="B72" s="485"/>
      <c r="C72" s="397"/>
      <c r="D72" s="485"/>
      <c r="E72" s="396"/>
      <c r="F72" s="396"/>
      <c r="G72" s="397"/>
      <c r="H72" s="378"/>
      <c r="I72" s="378"/>
      <c r="J72" s="378"/>
      <c r="K72" s="485"/>
      <c r="L72" s="398"/>
      <c r="M72" s="378"/>
      <c r="N72" s="399" t="s">
        <v>971</v>
      </c>
      <c r="O72" s="426" t="s">
        <v>1528</v>
      </c>
      <c r="P72" s="991">
        <f t="shared" si="3"/>
        <v>0</v>
      </c>
      <c r="Q72" s="483"/>
      <c r="R72" s="483"/>
      <c r="S72" s="483"/>
      <c r="T72" s="483"/>
      <c r="U72" s="483"/>
      <c r="V72" s="483"/>
      <c r="W72" s="483"/>
      <c r="X72" s="483"/>
      <c r="Y72" s="483"/>
      <c r="Z72" s="435">
        <f>L72-Y72</f>
        <v>0</v>
      </c>
      <c r="AA72" s="483"/>
      <c r="AB72" s="483"/>
      <c r="AC72" s="483"/>
    </row>
    <row r="73" spans="1:29" s="479" customFormat="1" ht="33.75" customHeight="1">
      <c r="A73" s="486" t="s">
        <v>641</v>
      </c>
      <c r="B73" s="401"/>
      <c r="C73" s="402" t="s">
        <v>259</v>
      </c>
      <c r="D73" s="401"/>
      <c r="E73" s="402" t="s">
        <v>260</v>
      </c>
      <c r="F73" s="403"/>
      <c r="G73" s="402" t="s">
        <v>1270</v>
      </c>
      <c r="H73" s="404" t="s">
        <v>865</v>
      </c>
      <c r="I73" s="405"/>
      <c r="J73" s="406" t="s">
        <v>770</v>
      </c>
      <c r="K73" s="401"/>
      <c r="L73" s="409" t="s">
        <v>637</v>
      </c>
      <c r="M73" s="408"/>
      <c r="N73" s="409" t="s">
        <v>256</v>
      </c>
      <c r="O73" s="426" t="s">
        <v>1528</v>
      </c>
      <c r="P73" s="991">
        <f t="shared" si="3"/>
        <v>0</v>
      </c>
      <c r="Q73" s="412" t="s">
        <v>560</v>
      </c>
      <c r="R73" s="413" t="s">
        <v>561</v>
      </c>
      <c r="S73" s="414" t="s">
        <v>562</v>
      </c>
      <c r="T73" s="415" t="s">
        <v>563</v>
      </c>
      <c r="U73" s="412" t="s">
        <v>564</v>
      </c>
      <c r="V73" s="487"/>
      <c r="W73" s="487"/>
      <c r="X73" s="487"/>
      <c r="Y73" s="487"/>
      <c r="Z73" s="435">
        <f>L73-Y73</f>
        <v>0</v>
      </c>
      <c r="AA73" s="487"/>
      <c r="AB73" s="487"/>
      <c r="AC73" s="487"/>
    </row>
    <row r="74" spans="1:29" s="427" customFormat="1" ht="12" customHeight="1">
      <c r="A74" s="419">
        <v>1</v>
      </c>
      <c r="B74" s="420"/>
      <c r="C74" s="421">
        <v>2</v>
      </c>
      <c r="D74" s="420"/>
      <c r="E74" s="419">
        <v>3</v>
      </c>
      <c r="F74" s="422"/>
      <c r="G74" s="419"/>
      <c r="H74" s="423" t="s">
        <v>1498</v>
      </c>
      <c r="I74" s="424"/>
      <c r="J74" s="425" t="s">
        <v>1504</v>
      </c>
      <c r="K74" s="422"/>
      <c r="L74" s="425" t="s">
        <v>1504</v>
      </c>
      <c r="M74" s="424"/>
      <c r="N74" s="425">
        <v>5</v>
      </c>
      <c r="O74" s="426" t="str">
        <f t="shared" ref="O74:O119" si="15">IF(OR(L74&lt;&gt;0,N74&lt;&gt;0),"print","")</f>
        <v>print</v>
      </c>
      <c r="P74" s="991">
        <f t="shared" si="3"/>
        <v>0</v>
      </c>
      <c r="Q74" s="428"/>
      <c r="R74" s="428"/>
      <c r="S74" s="428"/>
      <c r="T74" s="428"/>
      <c r="U74" s="428"/>
      <c r="V74" s="428"/>
      <c r="W74" s="428"/>
      <c r="X74" s="428"/>
      <c r="Y74" s="428"/>
      <c r="Z74" s="435">
        <f>L74-Y74</f>
        <v>0</v>
      </c>
      <c r="AA74" s="428"/>
      <c r="AB74" s="428"/>
      <c r="AC74" s="428"/>
    </row>
    <row r="75" spans="1:29" s="482" customFormat="1" ht="18.75" customHeight="1">
      <c r="A75" s="488" t="s">
        <v>643</v>
      </c>
      <c r="B75" s="489"/>
      <c r="C75" s="490">
        <v>300</v>
      </c>
      <c r="D75" s="489"/>
      <c r="E75" s="490"/>
      <c r="F75" s="490"/>
      <c r="G75" s="490"/>
      <c r="H75" s="491">
        <f>H76+H89</f>
        <v>461944158847</v>
      </c>
      <c r="I75" s="491"/>
      <c r="J75" s="492">
        <f ca="1">J76+J89</f>
        <v>0</v>
      </c>
      <c r="K75" s="489"/>
      <c r="L75" s="492">
        <f>L76+L89</f>
        <v>525067462754</v>
      </c>
      <c r="M75" s="492"/>
      <c r="N75" s="491">
        <f>N76+N89</f>
        <v>454607750175</v>
      </c>
      <c r="O75" s="426" t="str">
        <f t="shared" si="15"/>
        <v>print</v>
      </c>
      <c r="P75" s="1143">
        <f t="shared" ref="P75:U75" si="16">P76+P89</f>
        <v>65390625222</v>
      </c>
      <c r="Q75" s="491">
        <f t="shared" si="16"/>
        <v>19921611620</v>
      </c>
      <c r="R75" s="491">
        <f t="shared" si="16"/>
        <v>10522111628</v>
      </c>
      <c r="S75" s="491">
        <f t="shared" si="16"/>
        <v>6092671028</v>
      </c>
      <c r="T75" s="491">
        <f t="shared" si="16"/>
        <v>2004410716</v>
      </c>
      <c r="U75" s="491">
        <f t="shared" si="16"/>
        <v>26849820230</v>
      </c>
      <c r="V75" s="483"/>
      <c r="W75" s="483"/>
      <c r="X75" s="492"/>
      <c r="Y75" s="492"/>
      <c r="Z75" s="435"/>
      <c r="AA75" s="483"/>
      <c r="AB75" s="483"/>
      <c r="AC75" s="483"/>
    </row>
    <row r="76" spans="1:29" s="427" customFormat="1" ht="17.25" customHeight="1">
      <c r="A76" s="493" t="s">
        <v>644</v>
      </c>
      <c r="B76" s="494"/>
      <c r="C76" s="420">
        <v>310</v>
      </c>
      <c r="D76" s="494"/>
      <c r="E76" s="490"/>
      <c r="F76" s="420"/>
      <c r="G76" s="420"/>
      <c r="H76" s="495">
        <f>SUM(H77:H87)</f>
        <v>411096560558</v>
      </c>
      <c r="I76" s="495"/>
      <c r="J76" s="495">
        <f ca="1">SUM(J77:J86)</f>
        <v>0</v>
      </c>
      <c r="K76" s="494"/>
      <c r="L76" s="495">
        <f>SUM(L77:L87)</f>
        <v>488292098269</v>
      </c>
      <c r="M76" s="495"/>
      <c r="N76" s="495">
        <f>SUM(N77:N87)</f>
        <v>414061640778</v>
      </c>
      <c r="O76" s="426" t="str">
        <f t="shared" si="15"/>
        <v>print</v>
      </c>
      <c r="P76" s="1140">
        <f t="shared" ref="P76:U76" si="17">SUM(P77:P87)</f>
        <v>52154457932</v>
      </c>
      <c r="Q76" s="495">
        <f t="shared" si="17"/>
        <v>6685444330</v>
      </c>
      <c r="R76" s="495">
        <f t="shared" si="17"/>
        <v>10522111628</v>
      </c>
      <c r="S76" s="495">
        <f t="shared" si="17"/>
        <v>6092671028</v>
      </c>
      <c r="T76" s="495">
        <f t="shared" si="17"/>
        <v>2004410716</v>
      </c>
      <c r="U76" s="495">
        <f t="shared" si="17"/>
        <v>26849820230</v>
      </c>
      <c r="V76" s="428"/>
      <c r="W76" s="428"/>
      <c r="X76" s="495"/>
      <c r="Y76" s="495"/>
      <c r="Z76" s="435"/>
      <c r="AA76" s="428"/>
      <c r="AB76" s="428"/>
      <c r="AC76" s="428"/>
    </row>
    <row r="77" spans="1:29" ht="15.75" customHeight="1">
      <c r="A77" s="472" t="s">
        <v>645</v>
      </c>
      <c r="B77" s="472"/>
      <c r="C77" s="473">
        <v>311</v>
      </c>
      <c r="D77" s="472"/>
      <c r="E77" s="396" t="s">
        <v>1529</v>
      </c>
      <c r="F77" s="420"/>
      <c r="G77" s="473" t="s">
        <v>1256</v>
      </c>
      <c r="H77" s="446">
        <v>168982817017</v>
      </c>
      <c r="I77" s="474"/>
      <c r="J77" s="474">
        <f ca="1">SUMIF('TH DC'!$B$7:$F$102,BS!G77,'TH DC'!$F$7:$F$102)</f>
        <v>0</v>
      </c>
      <c r="K77" s="472"/>
      <c r="L77" s="474">
        <f>169892963483+188800000</f>
        <v>170081763483</v>
      </c>
      <c r="M77" s="474"/>
      <c r="N77" s="474">
        <v>187502887151</v>
      </c>
      <c r="O77" s="426" t="str">
        <f t="shared" si="15"/>
        <v>print</v>
      </c>
      <c r="P77" s="991">
        <f t="shared" ref="P77:P115" si="18">SUM(Q77:U77)</f>
        <v>6321630914</v>
      </c>
      <c r="Q77" s="381">
        <v>6319630914</v>
      </c>
      <c r="R77" s="381">
        <v>2000000</v>
      </c>
      <c r="Z77" s="435"/>
    </row>
    <row r="78" spans="1:29" ht="15.75" customHeight="1">
      <c r="A78" s="497" t="s">
        <v>1548</v>
      </c>
      <c r="B78" s="472"/>
      <c r="C78" s="473">
        <v>312</v>
      </c>
      <c r="D78" s="472"/>
      <c r="E78" s="396" t="s">
        <v>1546</v>
      </c>
      <c r="F78" s="420"/>
      <c r="G78" s="473" t="s">
        <v>1257</v>
      </c>
      <c r="H78" s="446">
        <v>114833251962</v>
      </c>
      <c r="I78" s="474"/>
      <c r="J78" s="474">
        <f ca="1">SUMIF('TH DC'!$B$7:$F$102,BS!G78,'TH DC'!$F$7:$F$102)</f>
        <v>0</v>
      </c>
      <c r="K78" s="472"/>
      <c r="L78" s="474">
        <v>176205746042</v>
      </c>
      <c r="M78" s="474"/>
      <c r="N78" s="474">
        <v>102113631355</v>
      </c>
      <c r="O78" s="426" t="str">
        <f t="shared" si="15"/>
        <v>print</v>
      </c>
      <c r="P78" s="991">
        <f t="shared" si="18"/>
        <v>16489789616</v>
      </c>
      <c r="Q78" s="381">
        <v>11075703150</v>
      </c>
      <c r="R78" s="381">
        <v>1004908203</v>
      </c>
      <c r="S78" s="381">
        <v>1755181035</v>
      </c>
      <c r="T78" s="381">
        <v>819921450</v>
      </c>
      <c r="U78" s="381">
        <v>1834075778</v>
      </c>
      <c r="Z78" s="451"/>
    </row>
    <row r="79" spans="1:29" ht="15.75" customHeight="1">
      <c r="A79" s="472" t="s">
        <v>653</v>
      </c>
      <c r="B79" s="472"/>
      <c r="C79" s="473">
        <v>313</v>
      </c>
      <c r="D79" s="472"/>
      <c r="E79" s="396" t="s">
        <v>1551</v>
      </c>
      <c r="F79" s="420"/>
      <c r="G79" s="473" t="s">
        <v>1296</v>
      </c>
      <c r="H79" s="446">
        <v>71774955793</v>
      </c>
      <c r="I79" s="474"/>
      <c r="J79" s="474">
        <f ca="1">SUMIF('TH DC'!$B$7:$F$102,BS!G79,'TH DC'!$F$7:$F$102)</f>
        <v>0</v>
      </c>
      <c r="K79" s="472"/>
      <c r="L79" s="474">
        <v>67427890065</v>
      </c>
      <c r="M79" s="474"/>
      <c r="N79" s="474">
        <v>59240846639</v>
      </c>
      <c r="O79" s="426" t="str">
        <f t="shared" si="15"/>
        <v>print</v>
      </c>
      <c r="P79" s="991">
        <f t="shared" si="18"/>
        <v>2410321112</v>
      </c>
      <c r="Q79" s="381">
        <v>1832467686</v>
      </c>
      <c r="S79" s="381">
        <v>557589024</v>
      </c>
      <c r="T79" s="381">
        <v>20264402</v>
      </c>
      <c r="Z79" s="435"/>
    </row>
    <row r="80" spans="1:29" ht="15.75" customHeight="1">
      <c r="A80" s="498" t="s">
        <v>495</v>
      </c>
      <c r="B80" s="472"/>
      <c r="C80" s="473">
        <v>314</v>
      </c>
      <c r="D80" s="472"/>
      <c r="E80" s="396" t="s">
        <v>1552</v>
      </c>
      <c r="F80" s="420"/>
      <c r="G80" s="473" t="s">
        <v>1258</v>
      </c>
      <c r="H80" s="446">
        <v>6631320725</v>
      </c>
      <c r="I80" s="474"/>
      <c r="J80" s="474">
        <f ca="1">SUMIF('TH DC'!$B$7:$F$102,BS!G80,'TH DC'!$F$7:$F$102)</f>
        <v>0</v>
      </c>
      <c r="K80" s="472"/>
      <c r="L80" s="474">
        <f>7770516633</f>
        <v>7770516633</v>
      </c>
      <c r="M80" s="474"/>
      <c r="N80" s="474">
        <v>5691481992</v>
      </c>
      <c r="O80" s="426" t="str">
        <f t="shared" si="15"/>
        <v>print</v>
      </c>
      <c r="P80" s="991">
        <f t="shared" si="18"/>
        <v>2166392539</v>
      </c>
      <c r="Q80" s="381">
        <v>901083290</v>
      </c>
      <c r="R80" s="381">
        <v>977094272</v>
      </c>
      <c r="S80" s="381">
        <v>274184155</v>
      </c>
      <c r="T80" s="381">
        <v>14030822</v>
      </c>
      <c r="Z80" s="435"/>
    </row>
    <row r="81" spans="1:29" ht="15.75" customHeight="1">
      <c r="A81" s="498" t="s">
        <v>496</v>
      </c>
      <c r="B81" s="472"/>
      <c r="C81" s="473">
        <v>315</v>
      </c>
      <c r="D81" s="472"/>
      <c r="E81" s="396"/>
      <c r="F81" s="420"/>
      <c r="G81" s="473" t="s">
        <v>1259</v>
      </c>
      <c r="H81" s="446">
        <v>747653037</v>
      </c>
      <c r="I81" s="474"/>
      <c r="J81" s="474">
        <f ca="1">SUMIF('TH DC'!$B$7:$F$102,BS!G81,'TH DC'!$F$7:$F$102)</f>
        <v>0</v>
      </c>
      <c r="K81" s="472"/>
      <c r="L81" s="474">
        <v>916220451</v>
      </c>
      <c r="M81" s="474"/>
      <c r="N81" s="474">
        <v>1478459171</v>
      </c>
      <c r="O81" s="426" t="str">
        <f t="shared" si="15"/>
        <v>print</v>
      </c>
      <c r="P81" s="991">
        <f t="shared" si="18"/>
        <v>1305932809</v>
      </c>
      <c r="Q81" s="381">
        <v>357615978</v>
      </c>
      <c r="R81" s="381">
        <v>297728173</v>
      </c>
      <c r="S81" s="381">
        <v>167730233</v>
      </c>
      <c r="T81" s="381">
        <v>35541044</v>
      </c>
      <c r="U81" s="381">
        <v>447317381</v>
      </c>
      <c r="Z81" s="435"/>
    </row>
    <row r="82" spans="1:29" s="448" customFormat="1" ht="15.75" customHeight="1">
      <c r="A82" s="450" t="s">
        <v>497</v>
      </c>
      <c r="B82" s="443"/>
      <c r="C82" s="444">
        <v>316</v>
      </c>
      <c r="D82" s="443"/>
      <c r="E82" s="593" t="s">
        <v>311</v>
      </c>
      <c r="F82" s="438"/>
      <c r="G82" s="444" t="s">
        <v>1260</v>
      </c>
      <c r="H82" s="446">
        <v>36346419363</v>
      </c>
      <c r="I82" s="447"/>
      <c r="J82" s="447">
        <f ca="1">SUMIF('TH DC'!$B$7:$F$102,BS!G82,'TH DC'!$F$7:$F$102)</f>
        <v>0</v>
      </c>
      <c r="K82" s="443"/>
      <c r="L82" s="474">
        <v>46742969025</v>
      </c>
      <c r="M82" s="474"/>
      <c r="N82" s="474">
        <v>45000123884</v>
      </c>
      <c r="O82" s="426" t="str">
        <f t="shared" si="15"/>
        <v>print</v>
      </c>
      <c r="P82" s="991">
        <f t="shared" si="18"/>
        <v>108021602</v>
      </c>
      <c r="Q82" s="449">
        <v>93921602</v>
      </c>
      <c r="R82" s="449"/>
      <c r="S82" s="449">
        <v>14100000</v>
      </c>
      <c r="T82" s="449"/>
      <c r="U82" s="449"/>
      <c r="V82" s="449"/>
      <c r="W82" s="449"/>
      <c r="X82" s="449"/>
      <c r="Y82" s="449"/>
      <c r="Z82" s="435"/>
      <c r="AA82" s="449"/>
      <c r="AB82" s="449"/>
      <c r="AC82" s="449"/>
    </row>
    <row r="83" spans="1:29" ht="17.25" customHeight="1">
      <c r="A83" s="498" t="s">
        <v>498</v>
      </c>
      <c r="B83" s="472"/>
      <c r="C83" s="473">
        <v>317</v>
      </c>
      <c r="D83" s="472"/>
      <c r="E83" s="490"/>
      <c r="F83" s="499"/>
      <c r="G83" s="473" t="s">
        <v>1255</v>
      </c>
      <c r="H83" s="446"/>
      <c r="I83" s="474"/>
      <c r="J83" s="474">
        <f ca="1">SUMIF('TH DC'!$B$7:$F$102,BS!G83,'TH DC'!$F$7:$F$102)</f>
        <v>0</v>
      </c>
      <c r="K83" s="472"/>
      <c r="L83" s="474">
        <v>0</v>
      </c>
      <c r="M83" s="474"/>
      <c r="N83" s="474">
        <v>0</v>
      </c>
      <c r="O83" s="455" t="str">
        <f t="shared" si="15"/>
        <v/>
      </c>
      <c r="P83" s="991">
        <f t="shared" si="18"/>
        <v>22723454918</v>
      </c>
      <c r="Q83" s="381">
        <v>-14117398524</v>
      </c>
      <c r="R83" s="381">
        <v>8174259229</v>
      </c>
      <c r="S83" s="381">
        <v>3037614600</v>
      </c>
      <c r="T83" s="381">
        <v>1083361028</v>
      </c>
      <c r="U83" s="381">
        <v>24545618585</v>
      </c>
      <c r="Z83" s="435"/>
    </row>
    <row r="84" spans="1:29" ht="18" customHeight="1">
      <c r="A84" s="498" t="s">
        <v>1403</v>
      </c>
      <c r="B84" s="472"/>
      <c r="C84" s="473">
        <v>318</v>
      </c>
      <c r="D84" s="472"/>
      <c r="E84" s="490"/>
      <c r="F84" s="420"/>
      <c r="G84" s="473" t="s">
        <v>1261</v>
      </c>
      <c r="H84" s="446"/>
      <c r="I84" s="474"/>
      <c r="J84" s="474">
        <f ca="1">SUMIF('TH DC'!$B$7:$F$102,BS!G84,'TH DC'!$F$7:$F$102)</f>
        <v>0</v>
      </c>
      <c r="K84" s="472"/>
      <c r="L84" s="474">
        <v>0</v>
      </c>
      <c r="M84" s="474"/>
      <c r="N84" s="474">
        <v>0</v>
      </c>
      <c r="O84" s="426" t="str">
        <f t="shared" si="15"/>
        <v/>
      </c>
      <c r="P84" s="991">
        <f t="shared" si="18"/>
        <v>0</v>
      </c>
      <c r="Z84" s="435"/>
    </row>
    <row r="85" spans="1:29" ht="18" customHeight="1">
      <c r="A85" s="497" t="s">
        <v>1371</v>
      </c>
      <c r="B85" s="472"/>
      <c r="C85" s="473">
        <v>319</v>
      </c>
      <c r="D85" s="472"/>
      <c r="E85" s="396" t="s">
        <v>320</v>
      </c>
      <c r="F85" s="420"/>
      <c r="G85" s="473" t="s">
        <v>1262</v>
      </c>
      <c r="H85" s="446">
        <v>10935114047</v>
      </c>
      <c r="I85" s="474"/>
      <c r="J85" s="474">
        <f ca="1">SUMIF('TH DC'!$B$7:$F$102,BS!G85,'TH DC'!$F$7:$F$102)</f>
        <v>0</v>
      </c>
      <c r="K85" s="472"/>
      <c r="L85" s="474">
        <v>18618813956</v>
      </c>
      <c r="M85" s="474"/>
      <c r="N85" s="474">
        <v>12440111972</v>
      </c>
      <c r="O85" s="426" t="str">
        <f t="shared" si="15"/>
        <v>print</v>
      </c>
      <c r="P85" s="991">
        <f t="shared" si="18"/>
        <v>916581497</v>
      </c>
      <c r="Q85" s="381">
        <v>510087309</v>
      </c>
      <c r="R85" s="381">
        <v>66121751</v>
      </c>
      <c r="S85" s="381">
        <v>286271981</v>
      </c>
      <c r="T85" s="381">
        <v>31291970</v>
      </c>
      <c r="U85" s="381">
        <v>22808486</v>
      </c>
      <c r="Z85" s="435"/>
    </row>
    <row r="86" spans="1:29" ht="18" customHeight="1">
      <c r="A86" s="498" t="s">
        <v>1372</v>
      </c>
      <c r="B86" s="472"/>
      <c r="C86" s="473">
        <v>320</v>
      </c>
      <c r="D86" s="472"/>
      <c r="E86" s="490"/>
      <c r="F86" s="499"/>
      <c r="G86" s="473" t="s">
        <v>1509</v>
      </c>
      <c r="H86" s="446"/>
      <c r="I86" s="474"/>
      <c r="J86" s="474">
        <f ca="1">SUMIF('TH DC'!$B$7:$F$102,BS!G86,'TH DC'!$F$7:$F$102)</f>
        <v>0</v>
      </c>
      <c r="K86" s="472"/>
      <c r="L86" s="474">
        <v>0</v>
      </c>
      <c r="M86" s="474"/>
      <c r="N86" s="474">
        <v>0</v>
      </c>
      <c r="O86" s="426" t="str">
        <f t="shared" si="15"/>
        <v/>
      </c>
      <c r="P86" s="991">
        <f t="shared" si="18"/>
        <v>0</v>
      </c>
      <c r="Z86" s="435"/>
    </row>
    <row r="87" spans="1:29" ht="16.5" customHeight="1">
      <c r="A87" s="498" t="s">
        <v>1373</v>
      </c>
      <c r="B87" s="472"/>
      <c r="C87" s="473"/>
      <c r="D87" s="472"/>
      <c r="E87" s="490"/>
      <c r="F87" s="499"/>
      <c r="G87" s="473"/>
      <c r="H87" s="446">
        <v>845028614</v>
      </c>
      <c r="I87" s="474"/>
      <c r="J87" s="474"/>
      <c r="K87" s="472"/>
      <c r="L87" s="474">
        <v>528178614</v>
      </c>
      <c r="M87" s="474"/>
      <c r="N87" s="474">
        <v>594098614</v>
      </c>
      <c r="O87" s="426"/>
      <c r="P87" s="991">
        <f t="shared" si="18"/>
        <v>-287667075</v>
      </c>
      <c r="Q87" s="381">
        <v>-287667075</v>
      </c>
      <c r="Z87" s="435"/>
    </row>
    <row r="88" spans="1:29" ht="2.25" customHeight="1">
      <c r="A88" s="498"/>
      <c r="B88" s="472"/>
      <c r="C88" s="473"/>
      <c r="D88" s="472"/>
      <c r="E88" s="490"/>
      <c r="F88" s="499"/>
      <c r="G88" s="473"/>
      <c r="H88" s="474"/>
      <c r="I88" s="474"/>
      <c r="J88" s="474"/>
      <c r="K88" s="472"/>
      <c r="L88" s="474"/>
      <c r="M88" s="474"/>
      <c r="N88" s="474"/>
      <c r="O88" s="426" t="s">
        <v>1528</v>
      </c>
      <c r="P88" s="991">
        <f t="shared" si="18"/>
        <v>0</v>
      </c>
      <c r="Q88" s="381">
        <v>0</v>
      </c>
      <c r="R88" s="381">
        <v>0</v>
      </c>
      <c r="S88" s="381">
        <v>0</v>
      </c>
      <c r="T88" s="381">
        <v>0</v>
      </c>
      <c r="U88" s="381">
        <v>0</v>
      </c>
      <c r="V88" s="381">
        <v>0</v>
      </c>
      <c r="W88" s="381">
        <v>0</v>
      </c>
      <c r="X88" s="381">
        <v>0</v>
      </c>
      <c r="Z88" s="435">
        <f>L88-Y88</f>
        <v>0</v>
      </c>
    </row>
    <row r="89" spans="1:29" s="427" customFormat="1" ht="18" customHeight="1">
      <c r="A89" s="493" t="s">
        <v>646</v>
      </c>
      <c r="B89" s="494"/>
      <c r="C89" s="420"/>
      <c r="D89" s="494"/>
      <c r="E89" s="490"/>
      <c r="F89" s="420"/>
      <c r="G89" s="420"/>
      <c r="H89" s="495">
        <f>SUM(H90:H98)</f>
        <v>50847598289</v>
      </c>
      <c r="I89" s="495"/>
      <c r="J89" s="495">
        <f ca="1">SUM(J90:J98)</f>
        <v>0</v>
      </c>
      <c r="K89" s="494"/>
      <c r="L89" s="495">
        <f>SUM(L90:L98)</f>
        <v>36775364485</v>
      </c>
      <c r="M89" s="495"/>
      <c r="N89" s="495">
        <f>SUM(N90:N98)</f>
        <v>40546109397</v>
      </c>
      <c r="O89" s="426" t="str">
        <f t="shared" si="15"/>
        <v>print</v>
      </c>
      <c r="P89" s="1140">
        <f t="shared" ref="P89:U89" si="19">SUM(P90:P96)</f>
        <v>13236167290</v>
      </c>
      <c r="Q89" s="495">
        <f t="shared" si="19"/>
        <v>13236167290</v>
      </c>
      <c r="R89" s="495">
        <f t="shared" si="19"/>
        <v>0</v>
      </c>
      <c r="S89" s="495">
        <f t="shared" si="19"/>
        <v>0</v>
      </c>
      <c r="T89" s="495">
        <f t="shared" si="19"/>
        <v>0</v>
      </c>
      <c r="U89" s="495">
        <f t="shared" si="19"/>
        <v>0</v>
      </c>
      <c r="V89" s="428"/>
      <c r="W89" s="428"/>
      <c r="X89" s="495"/>
      <c r="Y89" s="428"/>
      <c r="Z89" s="435"/>
      <c r="AA89" s="428"/>
      <c r="AB89" s="428"/>
      <c r="AC89" s="428"/>
    </row>
    <row r="90" spans="1:29" ht="17.25" customHeight="1">
      <c r="A90" s="472" t="s">
        <v>647</v>
      </c>
      <c r="B90" s="472"/>
      <c r="C90" s="473">
        <v>331</v>
      </c>
      <c r="D90" s="472"/>
      <c r="E90" s="490"/>
      <c r="F90" s="473"/>
      <c r="G90" s="473" t="s">
        <v>1264</v>
      </c>
      <c r="H90" s="446"/>
      <c r="I90" s="474"/>
      <c r="J90" s="474">
        <f ca="1">SUMIF('TH DC'!$B$7:$F$102,BS!G90,'TH DC'!$F$7:$F$102)</f>
        <v>0</v>
      </c>
      <c r="K90" s="472"/>
      <c r="L90" s="474">
        <v>0</v>
      </c>
      <c r="M90" s="474"/>
      <c r="N90" s="474">
        <v>0</v>
      </c>
      <c r="O90" s="426" t="str">
        <f t="shared" si="15"/>
        <v/>
      </c>
      <c r="P90" s="991">
        <f t="shared" si="18"/>
        <v>0</v>
      </c>
      <c r="Z90" s="435"/>
    </row>
    <row r="91" spans="1:29" ht="17.25" customHeight="1">
      <c r="A91" s="498" t="s">
        <v>1678</v>
      </c>
      <c r="B91" s="472"/>
      <c r="C91" s="473">
        <v>332</v>
      </c>
      <c r="D91" s="472"/>
      <c r="E91" s="396"/>
      <c r="F91" s="473"/>
      <c r="G91" s="473" t="s">
        <v>1254</v>
      </c>
      <c r="H91" s="446"/>
      <c r="I91" s="474"/>
      <c r="J91" s="474">
        <f ca="1">SUMIF('TH DC'!$B$7:$F$102,BS!G91,'TH DC'!$F$7:$F$102)</f>
        <v>0</v>
      </c>
      <c r="K91" s="472"/>
      <c r="L91" s="474">
        <v>0</v>
      </c>
      <c r="M91" s="474"/>
      <c r="N91" s="474">
        <v>0</v>
      </c>
      <c r="O91" s="426" t="str">
        <f t="shared" si="15"/>
        <v/>
      </c>
      <c r="P91" s="991">
        <f t="shared" si="18"/>
        <v>0</v>
      </c>
      <c r="Z91" s="435"/>
    </row>
    <row r="92" spans="1:29" ht="17.25" customHeight="1">
      <c r="A92" s="498" t="s">
        <v>1679</v>
      </c>
      <c r="B92" s="472"/>
      <c r="C92" s="473">
        <v>333</v>
      </c>
      <c r="D92" s="472"/>
      <c r="E92" s="490"/>
      <c r="F92" s="473"/>
      <c r="G92" s="473" t="s">
        <v>1263</v>
      </c>
      <c r="H92" s="446"/>
      <c r="I92" s="474"/>
      <c r="J92" s="474">
        <f ca="1">SUMIF('TH DC'!$B$7:$F$102,BS!G92,'TH DC'!$F$7:$F$102)</f>
        <v>0</v>
      </c>
      <c r="K92" s="472"/>
      <c r="L92" s="474">
        <v>0</v>
      </c>
      <c r="M92" s="474"/>
      <c r="N92" s="474">
        <v>0</v>
      </c>
      <c r="O92" s="426" t="str">
        <f t="shared" si="15"/>
        <v/>
      </c>
      <c r="P92" s="991">
        <f t="shared" si="18"/>
        <v>0</v>
      </c>
      <c r="Z92" s="435"/>
    </row>
    <row r="93" spans="1:29" ht="16.5">
      <c r="A93" s="497" t="s">
        <v>997</v>
      </c>
      <c r="B93" s="472"/>
      <c r="C93" s="473">
        <v>334</v>
      </c>
      <c r="D93" s="472"/>
      <c r="E93" s="396" t="s">
        <v>321</v>
      </c>
      <c r="F93" s="473"/>
      <c r="G93" s="473" t="s">
        <v>1253</v>
      </c>
      <c r="H93" s="446">
        <v>50801364483</v>
      </c>
      <c r="I93" s="474"/>
      <c r="J93" s="474">
        <f ca="1">SUMIF('TH DC'!$B$7:$F$102,BS!G93,'TH DC'!$F$7:$F$102)</f>
        <v>0</v>
      </c>
      <c r="K93" s="472"/>
      <c r="L93" s="474">
        <f>36964164485-188800000</f>
        <v>36775364485</v>
      </c>
      <c r="M93" s="474"/>
      <c r="N93" s="474">
        <v>40546109397</v>
      </c>
      <c r="O93" s="426" t="str">
        <f t="shared" si="15"/>
        <v>print</v>
      </c>
      <c r="P93" s="991">
        <f t="shared" si="18"/>
        <v>13129997384</v>
      </c>
      <c r="Q93" s="381">
        <v>13129997384</v>
      </c>
      <c r="Z93" s="435"/>
    </row>
    <row r="94" spans="1:29" ht="16.5">
      <c r="A94" s="498" t="s">
        <v>998</v>
      </c>
      <c r="B94" s="472"/>
      <c r="C94" s="473">
        <v>335</v>
      </c>
      <c r="D94" s="472"/>
      <c r="E94" s="396"/>
      <c r="F94" s="473"/>
      <c r="G94" s="473" t="s">
        <v>1265</v>
      </c>
      <c r="H94" s="446"/>
      <c r="I94" s="474"/>
      <c r="J94" s="474">
        <f ca="1">SUMIF('TH DC'!$B$7:$F$102,BS!G94,'TH DC'!$F$7:$F$102)</f>
        <v>0</v>
      </c>
      <c r="K94" s="472"/>
      <c r="L94" s="474">
        <v>0</v>
      </c>
      <c r="M94" s="474"/>
      <c r="N94" s="474">
        <v>0</v>
      </c>
      <c r="O94" s="426" t="str">
        <f t="shared" si="15"/>
        <v/>
      </c>
      <c r="P94" s="991">
        <f t="shared" si="18"/>
        <v>0</v>
      </c>
      <c r="Z94" s="435"/>
    </row>
    <row r="95" spans="1:29" ht="16.5" hidden="1">
      <c r="A95" s="498" t="s">
        <v>999</v>
      </c>
      <c r="B95" s="472"/>
      <c r="C95" s="473">
        <v>336</v>
      </c>
      <c r="D95" s="472"/>
      <c r="E95" s="490"/>
      <c r="F95" s="473"/>
      <c r="G95" s="473" t="s">
        <v>1531</v>
      </c>
      <c r="H95" s="446">
        <v>46233806</v>
      </c>
      <c r="I95" s="474"/>
      <c r="J95" s="474">
        <f ca="1">SUMIF('TH DC'!$B$7:$F$102,BS!G95,'TH DC'!$F$7:$F$102)</f>
        <v>0</v>
      </c>
      <c r="K95" s="472"/>
      <c r="L95" s="474">
        <v>0</v>
      </c>
      <c r="M95" s="474"/>
      <c r="N95" s="474">
        <v>0</v>
      </c>
      <c r="O95" s="426" t="str">
        <f t="shared" si="15"/>
        <v/>
      </c>
      <c r="P95" s="991">
        <f t="shared" si="18"/>
        <v>106169906</v>
      </c>
      <c r="Q95" s="381">
        <v>106169906</v>
      </c>
      <c r="Z95" s="435"/>
    </row>
    <row r="96" spans="1:29" ht="16.5" hidden="1">
      <c r="A96" s="498" t="s">
        <v>1512</v>
      </c>
      <c r="B96" s="472"/>
      <c r="C96" s="473">
        <v>337</v>
      </c>
      <c r="D96" s="472"/>
      <c r="E96" s="490"/>
      <c r="F96" s="473"/>
      <c r="G96" s="473" t="s">
        <v>1513</v>
      </c>
      <c r="H96" s="446"/>
      <c r="I96" s="474"/>
      <c r="J96" s="474">
        <f ca="1">SUMIF('TH DC'!$B$7:$F$102,BS!G96,'TH DC'!$F$7:$F$102)</f>
        <v>0</v>
      </c>
      <c r="K96" s="472"/>
      <c r="L96" s="474">
        <v>0</v>
      </c>
      <c r="M96" s="474"/>
      <c r="N96" s="474">
        <v>0</v>
      </c>
      <c r="O96" s="426" t="str">
        <f t="shared" si="15"/>
        <v/>
      </c>
      <c r="P96" s="991">
        <f t="shared" si="18"/>
        <v>0</v>
      </c>
      <c r="Z96" s="435"/>
    </row>
    <row r="97" spans="1:29" ht="16.5" hidden="1">
      <c r="A97" s="498" t="s">
        <v>1350</v>
      </c>
      <c r="B97" s="472"/>
      <c r="C97" s="473">
        <v>338</v>
      </c>
      <c r="D97" s="472"/>
      <c r="E97" s="490"/>
      <c r="F97" s="473"/>
      <c r="G97" s="473"/>
      <c r="H97" s="446"/>
      <c r="I97" s="474"/>
      <c r="J97" s="474"/>
      <c r="K97" s="472"/>
      <c r="L97" s="474">
        <v>0</v>
      </c>
      <c r="M97" s="474"/>
      <c r="N97" s="474">
        <v>0</v>
      </c>
      <c r="O97" s="426"/>
      <c r="P97" s="991">
        <f t="shared" si="18"/>
        <v>0</v>
      </c>
      <c r="Z97" s="435"/>
    </row>
    <row r="98" spans="1:29" ht="16.5" hidden="1">
      <c r="A98" s="498" t="s">
        <v>1351</v>
      </c>
      <c r="B98" s="472"/>
      <c r="C98" s="473">
        <v>339</v>
      </c>
      <c r="D98" s="472"/>
      <c r="E98" s="490"/>
      <c r="F98" s="473"/>
      <c r="G98" s="473"/>
      <c r="H98" s="446">
        <f>P98</f>
        <v>0</v>
      </c>
      <c r="I98" s="474"/>
      <c r="J98" s="474"/>
      <c r="K98" s="472"/>
      <c r="L98" s="474">
        <v>0</v>
      </c>
      <c r="M98" s="474"/>
      <c r="N98" s="474">
        <v>0</v>
      </c>
      <c r="O98" s="426"/>
      <c r="P98" s="991">
        <f t="shared" si="18"/>
        <v>0</v>
      </c>
      <c r="Z98" s="435"/>
    </row>
    <row r="99" spans="1:29" ht="4.5" customHeight="1">
      <c r="A99" s="472"/>
      <c r="B99" s="472"/>
      <c r="C99" s="473"/>
      <c r="D99" s="472"/>
      <c r="E99" s="490"/>
      <c r="F99" s="473"/>
      <c r="G99" s="473"/>
      <c r="H99" s="474"/>
      <c r="I99" s="474"/>
      <c r="J99" s="474"/>
      <c r="K99" s="472"/>
      <c r="L99" s="474"/>
      <c r="M99" s="474"/>
      <c r="N99" s="474"/>
      <c r="O99" s="426" t="s">
        <v>1528</v>
      </c>
      <c r="P99" s="991">
        <f t="shared" si="18"/>
        <v>0</v>
      </c>
      <c r="Q99" s="381">
        <v>0</v>
      </c>
      <c r="R99" s="381">
        <v>0</v>
      </c>
      <c r="S99" s="381">
        <v>0</v>
      </c>
      <c r="T99" s="381">
        <v>0</v>
      </c>
      <c r="U99" s="381">
        <v>0</v>
      </c>
      <c r="V99" s="381">
        <v>0</v>
      </c>
      <c r="W99" s="381">
        <v>0</v>
      </c>
      <c r="X99" s="381">
        <v>0</v>
      </c>
      <c r="Z99" s="435">
        <f>L99-Y99</f>
        <v>0</v>
      </c>
    </row>
    <row r="100" spans="1:29" s="482" customFormat="1" ht="18.75" customHeight="1">
      <c r="A100" s="488" t="s">
        <v>642</v>
      </c>
      <c r="B100" s="489"/>
      <c r="C100" s="490">
        <v>400</v>
      </c>
      <c r="D100" s="489"/>
      <c r="E100" s="490"/>
      <c r="F100" s="490"/>
      <c r="G100" s="490"/>
      <c r="H100" s="491">
        <f>H101+H115</f>
        <v>171176021465</v>
      </c>
      <c r="I100" s="491"/>
      <c r="J100" s="492">
        <f ca="1">J101+J115</f>
        <v>0</v>
      </c>
      <c r="K100" s="489"/>
      <c r="L100" s="492">
        <f ca="1">L101+L115</f>
        <v>170172768806</v>
      </c>
      <c r="M100" s="492"/>
      <c r="N100" s="491">
        <f>N101+N115</f>
        <v>166334499111</v>
      </c>
      <c r="O100" s="426" t="str">
        <f t="shared" ca="1" si="15"/>
        <v>print</v>
      </c>
      <c r="P100" s="1143">
        <f t="shared" ref="P100:U100" si="20">P101+P115</f>
        <v>45446058891</v>
      </c>
      <c r="Q100" s="491">
        <f t="shared" si="20"/>
        <v>53676998513</v>
      </c>
      <c r="R100" s="491">
        <f t="shared" si="20"/>
        <v>-6569746647</v>
      </c>
      <c r="S100" s="491">
        <f t="shared" si="20"/>
        <v>-413113799</v>
      </c>
      <c r="T100" s="491">
        <f t="shared" si="20"/>
        <v>-781727144</v>
      </c>
      <c r="U100" s="491">
        <f t="shared" si="20"/>
        <v>-466352032</v>
      </c>
      <c r="V100" s="483"/>
      <c r="W100" s="483"/>
      <c r="X100" s="492"/>
      <c r="Y100" s="492"/>
      <c r="Z100" s="435"/>
      <c r="AA100" s="483"/>
      <c r="AB100" s="483"/>
      <c r="AC100" s="483"/>
    </row>
    <row r="101" spans="1:29" s="427" customFormat="1" ht="17.25" customHeight="1">
      <c r="A101" s="493" t="s">
        <v>652</v>
      </c>
      <c r="B101" s="494"/>
      <c r="C101" s="420">
        <v>410</v>
      </c>
      <c r="D101" s="494"/>
      <c r="E101" s="396" t="s">
        <v>322</v>
      </c>
      <c r="F101" s="420"/>
      <c r="G101" s="420"/>
      <c r="H101" s="495">
        <f>SUM(H102:H112)</f>
        <v>171176021465</v>
      </c>
      <c r="I101" s="495"/>
      <c r="J101" s="495">
        <f ca="1">SUM(J102:J112)</f>
        <v>0</v>
      </c>
      <c r="K101" s="494"/>
      <c r="L101" s="495">
        <f>SUM(L102:L112)</f>
        <v>170172768806</v>
      </c>
      <c r="M101" s="495"/>
      <c r="N101" s="495">
        <f>SUM(N102:N112)</f>
        <v>166334499111</v>
      </c>
      <c r="O101" s="426" t="str">
        <f t="shared" si="15"/>
        <v>print</v>
      </c>
      <c r="P101" s="1140">
        <f t="shared" ref="P101:U101" si="21">SUM(P102:P112)</f>
        <v>45446058891</v>
      </c>
      <c r="Q101" s="495">
        <f t="shared" si="21"/>
        <v>53676998513</v>
      </c>
      <c r="R101" s="495">
        <f t="shared" si="21"/>
        <v>-6569746647</v>
      </c>
      <c r="S101" s="495">
        <f t="shared" si="21"/>
        <v>-413113799</v>
      </c>
      <c r="T101" s="495">
        <f t="shared" si="21"/>
        <v>-781727144</v>
      </c>
      <c r="U101" s="495">
        <f t="shared" si="21"/>
        <v>-466352032</v>
      </c>
      <c r="V101" s="428"/>
      <c r="W101" s="428"/>
      <c r="X101" s="495"/>
      <c r="Y101" s="495"/>
      <c r="Z101" s="435"/>
      <c r="AA101" s="428"/>
      <c r="AB101" s="428"/>
      <c r="AC101" s="428"/>
    </row>
    <row r="102" spans="1:29" ht="16.5" customHeight="1">
      <c r="A102" s="500" t="s">
        <v>648</v>
      </c>
      <c r="B102" s="472"/>
      <c r="C102" s="473">
        <v>411</v>
      </c>
      <c r="D102" s="472"/>
      <c r="E102" s="490"/>
      <c r="F102" s="473"/>
      <c r="G102" s="473" t="s">
        <v>1476</v>
      </c>
      <c r="H102" s="446">
        <v>111144720000</v>
      </c>
      <c r="I102" s="474"/>
      <c r="J102" s="474">
        <f ca="1">SUMIF('TH DC'!$B$7:$F$102,BS!G102,'TH DC'!$F$7:$F$102)</f>
        <v>0</v>
      </c>
      <c r="K102" s="472"/>
      <c r="L102" s="474">
        <v>111144720000</v>
      </c>
      <c r="M102" s="474"/>
      <c r="N102" s="474">
        <v>111144720000</v>
      </c>
      <c r="O102" s="426" t="str">
        <f t="shared" si="15"/>
        <v>print</v>
      </c>
      <c r="P102" s="991">
        <f t="shared" si="18"/>
        <v>30999390000</v>
      </c>
      <c r="Q102" s="381">
        <v>30999390000</v>
      </c>
      <c r="Z102" s="435"/>
    </row>
    <row r="103" spans="1:29" s="448" customFormat="1" ht="16.5">
      <c r="A103" s="443" t="s">
        <v>649</v>
      </c>
      <c r="B103" s="443"/>
      <c r="C103" s="444">
        <v>412</v>
      </c>
      <c r="D103" s="443"/>
      <c r="E103" s="431"/>
      <c r="F103" s="444"/>
      <c r="G103" s="444" t="s">
        <v>1477</v>
      </c>
      <c r="H103" s="446">
        <v>25412622500</v>
      </c>
      <c r="I103" s="447"/>
      <c r="J103" s="447">
        <f ca="1">SUMIF('TH DC'!$B$7:$F$102,BS!G103,'TH DC'!$F$7:$F$102)</f>
        <v>0</v>
      </c>
      <c r="K103" s="443"/>
      <c r="L103" s="474">
        <v>25412622500</v>
      </c>
      <c r="M103" s="474"/>
      <c r="N103" s="474">
        <v>25412622500</v>
      </c>
      <c r="O103" s="426" t="str">
        <f t="shared" si="15"/>
        <v>print</v>
      </c>
      <c r="P103" s="991">
        <f t="shared" si="18"/>
        <v>9743503300</v>
      </c>
      <c r="Q103" s="449">
        <v>9743503300</v>
      </c>
      <c r="R103" s="449"/>
      <c r="S103" s="449"/>
      <c r="T103" s="449"/>
      <c r="U103" s="449"/>
      <c r="V103" s="449"/>
      <c r="W103" s="449"/>
      <c r="X103" s="449"/>
      <c r="Y103" s="449"/>
      <c r="Z103" s="435"/>
      <c r="AA103" s="449"/>
      <c r="AB103" s="449"/>
      <c r="AC103" s="449"/>
    </row>
    <row r="104" spans="1:29" s="448" customFormat="1" ht="16.5">
      <c r="A104" s="450" t="s">
        <v>1516</v>
      </c>
      <c r="B104" s="443"/>
      <c r="C104" s="444">
        <v>413</v>
      </c>
      <c r="D104" s="443"/>
      <c r="E104" s="431"/>
      <c r="F104" s="444"/>
      <c r="G104" s="444" t="s">
        <v>1517</v>
      </c>
      <c r="H104" s="446">
        <v>213538854</v>
      </c>
      <c r="I104" s="447"/>
      <c r="J104" s="447">
        <f ca="1">SUMIF('TH DC'!$B$7:$F$102,BS!G104,'TH DC'!$F$7:$F$102)</f>
        <v>0</v>
      </c>
      <c r="K104" s="443"/>
      <c r="L104" s="474">
        <v>213538854</v>
      </c>
      <c r="M104" s="474"/>
      <c r="N104" s="474">
        <v>213538854</v>
      </c>
      <c r="O104" s="426" t="str">
        <f t="shared" si="15"/>
        <v>print</v>
      </c>
      <c r="P104" s="991">
        <f t="shared" si="18"/>
        <v>0</v>
      </c>
      <c r="Q104" s="449"/>
      <c r="R104" s="449"/>
      <c r="S104" s="449"/>
      <c r="T104" s="449"/>
      <c r="U104" s="449"/>
      <c r="V104" s="449"/>
      <c r="W104" s="449"/>
      <c r="X104" s="449"/>
      <c r="Y104" s="449"/>
      <c r="Z104" s="435"/>
      <c r="AA104" s="449"/>
      <c r="AB104" s="449"/>
      <c r="AC104" s="449"/>
    </row>
    <row r="105" spans="1:29" s="448" customFormat="1" ht="16.5" hidden="1">
      <c r="A105" s="450" t="s">
        <v>1519</v>
      </c>
      <c r="B105" s="443"/>
      <c r="C105" s="444">
        <v>414</v>
      </c>
      <c r="D105" s="443"/>
      <c r="E105" s="431"/>
      <c r="F105" s="444"/>
      <c r="G105" s="444" t="s">
        <v>1478</v>
      </c>
      <c r="H105" s="446"/>
      <c r="I105" s="447"/>
      <c r="J105" s="447">
        <f ca="1">SUMIF('TH DC'!$B$7:$F$102,BS!G105,'TH DC'!$F$7:$F$102)</f>
        <v>0</v>
      </c>
      <c r="K105" s="443"/>
      <c r="L105" s="474">
        <v>0</v>
      </c>
      <c r="M105" s="474"/>
      <c r="N105" s="474">
        <v>0</v>
      </c>
      <c r="O105" s="426" t="str">
        <f t="shared" si="15"/>
        <v/>
      </c>
      <c r="P105" s="991">
        <f t="shared" si="18"/>
        <v>0</v>
      </c>
      <c r="Q105" s="449"/>
      <c r="R105" s="449"/>
      <c r="S105" s="449"/>
      <c r="T105" s="449"/>
      <c r="U105" s="449"/>
      <c r="V105" s="449"/>
      <c r="W105" s="449"/>
      <c r="X105" s="449"/>
      <c r="Y105" s="449"/>
      <c r="Z105" s="435"/>
      <c r="AA105" s="449"/>
      <c r="AB105" s="449"/>
      <c r="AC105" s="449"/>
    </row>
    <row r="106" spans="1:29" s="448" customFormat="1" ht="16.5" hidden="1">
      <c r="A106" s="450" t="s">
        <v>1680</v>
      </c>
      <c r="B106" s="443"/>
      <c r="C106" s="444">
        <v>415</v>
      </c>
      <c r="D106" s="443"/>
      <c r="E106" s="431"/>
      <c r="F106" s="444"/>
      <c r="G106" s="444" t="s">
        <v>1479</v>
      </c>
      <c r="H106" s="446"/>
      <c r="I106" s="447"/>
      <c r="J106" s="447">
        <f ca="1">SUMIF('TH DC'!$B$7:$F$102,BS!G106,'TH DC'!$F$7:$F$102)</f>
        <v>0</v>
      </c>
      <c r="K106" s="443"/>
      <c r="L106" s="474">
        <v>0</v>
      </c>
      <c r="M106" s="474"/>
      <c r="N106" s="474">
        <v>0</v>
      </c>
      <c r="O106" s="426" t="str">
        <f t="shared" si="15"/>
        <v/>
      </c>
      <c r="P106" s="991">
        <f t="shared" si="18"/>
        <v>0</v>
      </c>
      <c r="Q106" s="449"/>
      <c r="R106" s="449"/>
      <c r="S106" s="449"/>
      <c r="T106" s="449"/>
      <c r="U106" s="449"/>
      <c r="V106" s="449"/>
      <c r="W106" s="449"/>
      <c r="X106" s="449"/>
      <c r="Y106" s="449"/>
      <c r="Z106" s="435"/>
      <c r="AA106" s="449"/>
      <c r="AB106" s="449"/>
      <c r="AC106" s="449"/>
    </row>
    <row r="107" spans="1:29" ht="16.5" hidden="1">
      <c r="A107" s="498" t="s">
        <v>888</v>
      </c>
      <c r="B107" s="472"/>
      <c r="C107" s="473">
        <v>416</v>
      </c>
      <c r="D107" s="472"/>
      <c r="E107" s="490"/>
      <c r="F107" s="473"/>
      <c r="G107" s="473" t="s">
        <v>1480</v>
      </c>
      <c r="H107" s="446"/>
      <c r="I107" s="474"/>
      <c r="J107" s="474">
        <f ca="1">SUMIF('TH DC'!$B$7:$F$102,BS!G107,'TH DC'!$F$7:$F$102)</f>
        <v>0</v>
      </c>
      <c r="K107" s="472"/>
      <c r="L107" s="474">
        <v>0</v>
      </c>
      <c r="M107" s="474"/>
      <c r="N107" s="474">
        <v>0</v>
      </c>
      <c r="O107" s="426" t="str">
        <f t="shared" si="15"/>
        <v/>
      </c>
      <c r="P107" s="991">
        <f t="shared" si="18"/>
        <v>0</v>
      </c>
      <c r="Z107" s="435"/>
    </row>
    <row r="108" spans="1:29" ht="16.5">
      <c r="A108" s="498" t="s">
        <v>470</v>
      </c>
      <c r="B108" s="472"/>
      <c r="C108" s="473">
        <v>417</v>
      </c>
      <c r="D108" s="472"/>
      <c r="E108" s="490"/>
      <c r="F108" s="473"/>
      <c r="G108" s="473" t="s">
        <v>1481</v>
      </c>
      <c r="H108" s="446">
        <v>7209778043</v>
      </c>
      <c r="I108" s="474"/>
      <c r="J108" s="474">
        <f ca="1">SUMIF('TH DC'!$B$7:$F$102,BS!G108,'TH DC'!$F$7:$F$102)</f>
        <v>0</v>
      </c>
      <c r="K108" s="472"/>
      <c r="L108" s="474">
        <v>7209778043</v>
      </c>
      <c r="M108" s="474"/>
      <c r="N108" s="474">
        <v>7209778043</v>
      </c>
      <c r="O108" s="426" t="str">
        <f t="shared" si="15"/>
        <v>print</v>
      </c>
      <c r="P108" s="991">
        <f t="shared" si="18"/>
        <v>608169833</v>
      </c>
      <c r="Q108" s="381">
        <v>608169833</v>
      </c>
      <c r="Z108" s="435"/>
    </row>
    <row r="109" spans="1:29" ht="15.75" customHeight="1">
      <c r="A109" s="498" t="s">
        <v>471</v>
      </c>
      <c r="B109" s="472"/>
      <c r="C109" s="473">
        <v>418</v>
      </c>
      <c r="D109" s="472"/>
      <c r="E109" s="490"/>
      <c r="F109" s="473"/>
      <c r="G109" s="473" t="s">
        <v>1482</v>
      </c>
      <c r="H109" s="446">
        <v>2030285926</v>
      </c>
      <c r="I109" s="474"/>
      <c r="J109" s="474">
        <f ca="1">SUMIF('TH DC'!$B$7:$F$102,BS!G109,'TH DC'!$F$7:$F$102)</f>
        <v>0</v>
      </c>
      <c r="K109" s="472"/>
      <c r="L109" s="474">
        <v>2030285926</v>
      </c>
      <c r="M109" s="474"/>
      <c r="N109" s="474">
        <v>2030285926</v>
      </c>
      <c r="O109" s="426" t="str">
        <f t="shared" si="15"/>
        <v>print</v>
      </c>
      <c r="P109" s="991">
        <f t="shared" si="18"/>
        <v>520160930</v>
      </c>
      <c r="Q109" s="381">
        <v>520160930</v>
      </c>
      <c r="Z109" s="435"/>
    </row>
    <row r="110" spans="1:29" ht="17.25" hidden="1" customHeight="1">
      <c r="A110" s="498" t="s">
        <v>721</v>
      </c>
      <c r="B110" s="472"/>
      <c r="C110" s="473">
        <v>419</v>
      </c>
      <c r="D110" s="472"/>
      <c r="E110" s="490"/>
      <c r="F110" s="473"/>
      <c r="G110" s="473" t="s">
        <v>1483</v>
      </c>
      <c r="H110" s="446"/>
      <c r="I110" s="474"/>
      <c r="J110" s="474">
        <f ca="1">SUMIF('TH DC'!$B$7:$F$102,BS!G110,'TH DC'!$F$7:$F$102)</f>
        <v>0</v>
      </c>
      <c r="K110" s="472"/>
      <c r="L110" s="474">
        <v>0</v>
      </c>
      <c r="M110" s="474"/>
      <c r="N110" s="474">
        <v>0</v>
      </c>
      <c r="O110" s="426" t="str">
        <f t="shared" si="15"/>
        <v/>
      </c>
      <c r="P110" s="991">
        <f t="shared" si="18"/>
        <v>0</v>
      </c>
      <c r="Z110" s="435"/>
    </row>
    <row r="111" spans="1:29" ht="17.25" customHeight="1">
      <c r="A111" s="498" t="s">
        <v>472</v>
      </c>
      <c r="B111" s="472"/>
      <c r="C111" s="473">
        <v>420</v>
      </c>
      <c r="D111" s="472"/>
      <c r="E111" s="490"/>
      <c r="F111" s="473"/>
      <c r="G111" s="473" t="s">
        <v>1484</v>
      </c>
      <c r="H111" s="446">
        <v>25165076142</v>
      </c>
      <c r="I111" s="474"/>
      <c r="J111" s="474">
        <f ca="1">SUMIF('TH DC'!$B$7:$F$102,BS!G111,'TH DC'!$F$7:$F$102)</f>
        <v>0</v>
      </c>
      <c r="K111" s="472"/>
      <c r="L111" s="474">
        <f>11480191617+542722875+11547901800+180907625-9789900434+10200000000</f>
        <v>24161823483</v>
      </c>
      <c r="M111" s="474"/>
      <c r="N111" s="474">
        <v>20323553788</v>
      </c>
      <c r="O111" s="455" t="str">
        <f t="shared" si="15"/>
        <v>print</v>
      </c>
      <c r="P111" s="991">
        <f t="shared" si="18"/>
        <v>3574834828</v>
      </c>
      <c r="Q111" s="381">
        <v>11805774450</v>
      </c>
      <c r="R111" s="381">
        <v>-6569746647</v>
      </c>
      <c r="S111" s="381">
        <v>-413113799</v>
      </c>
      <c r="T111" s="381">
        <v>-781727144</v>
      </c>
      <c r="U111" s="381">
        <v>-466352032</v>
      </c>
      <c r="Z111" s="435"/>
    </row>
    <row r="112" spans="1:29" ht="18" hidden="1" customHeight="1">
      <c r="A112" s="498" t="s">
        <v>722</v>
      </c>
      <c r="B112" s="472"/>
      <c r="C112" s="473">
        <v>421</v>
      </c>
      <c r="D112" s="472"/>
      <c r="E112" s="490"/>
      <c r="F112" s="473"/>
      <c r="G112" s="473" t="s">
        <v>1506</v>
      </c>
      <c r="H112" s="446"/>
      <c r="I112" s="474"/>
      <c r="J112" s="474">
        <f ca="1">SUMIF('TH DC'!$B$7:$F$102,BS!G112,'TH DC'!$F$7:$F$102)</f>
        <v>0</v>
      </c>
      <c r="K112" s="472"/>
      <c r="L112" s="474">
        <v>0</v>
      </c>
      <c r="M112" s="474"/>
      <c r="N112" s="474">
        <v>0</v>
      </c>
      <c r="O112" s="426" t="str">
        <f t="shared" si="15"/>
        <v/>
      </c>
      <c r="P112" s="991">
        <f t="shared" si="18"/>
        <v>0</v>
      </c>
      <c r="Z112" s="435"/>
    </row>
    <row r="113" spans="1:29" ht="18" hidden="1" customHeight="1">
      <c r="A113" s="498" t="s">
        <v>723</v>
      </c>
      <c r="B113" s="472"/>
      <c r="C113" s="473">
        <v>422</v>
      </c>
      <c r="D113" s="472"/>
      <c r="E113" s="490"/>
      <c r="F113" s="473"/>
      <c r="G113" s="473"/>
      <c r="H113" s="446"/>
      <c r="I113" s="474"/>
      <c r="J113" s="474"/>
      <c r="K113" s="472"/>
      <c r="L113" s="474">
        <v>0</v>
      </c>
      <c r="M113" s="474"/>
      <c r="N113" s="474">
        <v>0</v>
      </c>
      <c r="O113" s="426"/>
      <c r="P113" s="991">
        <f t="shared" si="18"/>
        <v>0</v>
      </c>
      <c r="Z113" s="435"/>
    </row>
    <row r="114" spans="1:29" ht="1.5" customHeight="1">
      <c r="A114" s="498"/>
      <c r="B114" s="472"/>
      <c r="C114" s="473"/>
      <c r="D114" s="472"/>
      <c r="E114" s="490"/>
      <c r="F114" s="473"/>
      <c r="G114" s="473"/>
      <c r="H114" s="474"/>
      <c r="I114" s="474"/>
      <c r="J114" s="474"/>
      <c r="K114" s="472"/>
      <c r="L114" s="474"/>
      <c r="M114" s="474"/>
      <c r="N114" s="474"/>
      <c r="O114" s="426" t="s">
        <v>1528</v>
      </c>
      <c r="P114" s="991">
        <f t="shared" si="18"/>
        <v>0</v>
      </c>
      <c r="Q114" s="381">
        <v>0</v>
      </c>
      <c r="R114" s="381">
        <v>0</v>
      </c>
      <c r="S114" s="381">
        <v>0</v>
      </c>
      <c r="T114" s="381">
        <v>0</v>
      </c>
      <c r="U114" s="381">
        <v>0</v>
      </c>
      <c r="V114" s="381">
        <v>0</v>
      </c>
      <c r="W114" s="381">
        <v>0</v>
      </c>
      <c r="X114" s="381">
        <v>0</v>
      </c>
      <c r="Z114" s="435">
        <f>L114-Y114</f>
        <v>0</v>
      </c>
    </row>
    <row r="115" spans="1:29" s="427" customFormat="1" ht="15.75" customHeight="1">
      <c r="A115" s="493" t="s">
        <v>650</v>
      </c>
      <c r="B115" s="494"/>
      <c r="C115" s="420">
        <v>430</v>
      </c>
      <c r="D115" s="494"/>
      <c r="E115" s="490"/>
      <c r="F115" s="420"/>
      <c r="G115" s="420"/>
      <c r="H115" s="446">
        <f>P115</f>
        <v>0</v>
      </c>
      <c r="I115" s="495"/>
      <c r="J115" s="495">
        <f ca="1">SUM(J116:J117)</f>
        <v>0</v>
      </c>
      <c r="K115" s="494"/>
      <c r="L115" s="495">
        <f ca="1">SUM(L116:L117)</f>
        <v>0</v>
      </c>
      <c r="M115" s="495"/>
      <c r="N115" s="495">
        <f>SUM(N116:N117)</f>
        <v>0</v>
      </c>
      <c r="O115" s="426" t="s">
        <v>1528</v>
      </c>
      <c r="P115" s="991">
        <f t="shared" si="18"/>
        <v>0</v>
      </c>
      <c r="Q115" s="428"/>
      <c r="R115" s="428"/>
      <c r="S115" s="428"/>
      <c r="T115" s="428"/>
      <c r="U115" s="428"/>
      <c r="V115" s="428"/>
      <c r="W115" s="428"/>
      <c r="X115" s="495"/>
      <c r="Y115" s="495"/>
      <c r="Z115" s="435"/>
      <c r="AA115" s="428"/>
      <c r="AB115" s="428"/>
      <c r="AC115" s="428"/>
    </row>
    <row r="116" spans="1:29" ht="18" hidden="1" customHeight="1">
      <c r="A116" s="498" t="s">
        <v>724</v>
      </c>
      <c r="B116" s="472"/>
      <c r="C116" s="473">
        <v>432</v>
      </c>
      <c r="D116" s="472"/>
      <c r="E116" s="490"/>
      <c r="F116" s="473"/>
      <c r="G116" s="473" t="s">
        <v>1486</v>
      </c>
      <c r="H116" s="446"/>
      <c r="I116" s="474"/>
      <c r="J116" s="474">
        <f ca="1">SUMIF('TH DC'!$B$7:$F$102,BS!G116,'TH DC'!$F$7:$F$102)</f>
        <v>0</v>
      </c>
      <c r="K116" s="472"/>
      <c r="L116" s="474">
        <f ca="1">J116+H116</f>
        <v>0</v>
      </c>
      <c r="M116" s="474"/>
      <c r="N116" s="496"/>
      <c r="O116" s="426" t="str">
        <f t="shared" ca="1" si="15"/>
        <v/>
      </c>
      <c r="Z116" s="435"/>
    </row>
    <row r="117" spans="1:29" ht="18" hidden="1" customHeight="1">
      <c r="A117" s="498" t="s">
        <v>725</v>
      </c>
      <c r="B117" s="472"/>
      <c r="C117" s="473">
        <v>433</v>
      </c>
      <c r="D117" s="472"/>
      <c r="E117" s="396"/>
      <c r="F117" s="473"/>
      <c r="G117" s="473" t="s">
        <v>1487</v>
      </c>
      <c r="H117" s="446"/>
      <c r="I117" s="474"/>
      <c r="J117" s="474">
        <f ca="1">SUMIF('TH DC'!$B$7:$F$102,BS!G117,'TH DC'!$F$7:$F$102)</f>
        <v>0</v>
      </c>
      <c r="K117" s="472"/>
      <c r="L117" s="474">
        <f ca="1">J117+H117</f>
        <v>0</v>
      </c>
      <c r="M117" s="474"/>
      <c r="N117" s="496"/>
      <c r="O117" s="426" t="str">
        <f t="shared" ca="1" si="15"/>
        <v/>
      </c>
      <c r="Z117" s="435"/>
    </row>
    <row r="118" spans="1:29" ht="3.75" customHeight="1">
      <c r="A118" s="472"/>
      <c r="B118" s="472"/>
      <c r="C118" s="473"/>
      <c r="D118" s="472"/>
      <c r="E118" s="473"/>
      <c r="F118" s="473"/>
      <c r="G118" s="473"/>
      <c r="H118" s="474"/>
      <c r="I118" s="474"/>
      <c r="J118" s="474"/>
      <c r="K118" s="472"/>
      <c r="L118" s="474"/>
      <c r="M118" s="474"/>
      <c r="N118" s="474"/>
      <c r="O118" s="426" t="s">
        <v>1528</v>
      </c>
      <c r="Z118" s="435"/>
    </row>
    <row r="119" spans="1:29" s="481" customFormat="1" ht="20.25" customHeight="1">
      <c r="A119" s="400" t="s">
        <v>651</v>
      </c>
      <c r="B119" s="401"/>
      <c r="C119" s="402">
        <v>440</v>
      </c>
      <c r="D119" s="401"/>
      <c r="E119" s="402"/>
      <c r="F119" s="403"/>
      <c r="G119" s="402"/>
      <c r="H119" s="476">
        <f>H75+H100</f>
        <v>633120180312</v>
      </c>
      <c r="I119" s="477"/>
      <c r="J119" s="476">
        <f ca="1">J75+J100</f>
        <v>0</v>
      </c>
      <c r="K119" s="401"/>
      <c r="L119" s="476">
        <f ca="1">L75+L100</f>
        <v>695240231560</v>
      </c>
      <c r="M119" s="478"/>
      <c r="N119" s="476">
        <f>N75+N100</f>
        <v>620942249286</v>
      </c>
      <c r="O119" s="426" t="str">
        <f t="shared" ca="1" si="15"/>
        <v>print</v>
      </c>
      <c r="P119" s="476">
        <f t="shared" ref="P119:U119" si="22">P75+P100</f>
        <v>110836684113</v>
      </c>
      <c r="Q119" s="476">
        <f t="shared" si="22"/>
        <v>73598610133</v>
      </c>
      <c r="R119" s="476">
        <f t="shared" si="22"/>
        <v>3952364981</v>
      </c>
      <c r="S119" s="476">
        <f t="shared" si="22"/>
        <v>5679557229</v>
      </c>
      <c r="T119" s="476">
        <f t="shared" si="22"/>
        <v>1222683572</v>
      </c>
      <c r="U119" s="476">
        <f t="shared" si="22"/>
        <v>26383468198</v>
      </c>
      <c r="V119" s="480"/>
      <c r="W119" s="480"/>
      <c r="X119" s="480"/>
      <c r="Y119" s="480"/>
      <c r="Z119" s="435"/>
      <c r="AA119" s="480"/>
      <c r="AB119" s="480"/>
      <c r="AC119" s="480"/>
    </row>
    <row r="120" spans="1:29" s="482" customFormat="1" ht="16.5" customHeight="1">
      <c r="A120" s="489"/>
      <c r="B120" s="489"/>
      <c r="C120" s="490"/>
      <c r="D120" s="489"/>
      <c r="E120" s="490"/>
      <c r="F120" s="490"/>
      <c r="G120" s="490"/>
      <c r="H120" s="492">
        <f>H119-H70</f>
        <v>0</v>
      </c>
      <c r="I120" s="492"/>
      <c r="J120" s="492">
        <f ca="1">J119-J70</f>
        <v>0</v>
      </c>
      <c r="K120" s="489"/>
      <c r="L120" s="492">
        <f ca="1">L119-L70</f>
        <v>0</v>
      </c>
      <c r="M120" s="492"/>
      <c r="N120" s="492">
        <f>N119-N70</f>
        <v>0</v>
      </c>
      <c r="O120" s="426" t="s">
        <v>1528</v>
      </c>
      <c r="P120" s="990"/>
      <c r="Q120" s="492">
        <f>Q119-Q70</f>
        <v>700000000</v>
      </c>
      <c r="R120" s="492">
        <f>R119-R70</f>
        <v>0</v>
      </c>
      <c r="S120" s="492">
        <f>S119-S70</f>
        <v>0</v>
      </c>
      <c r="T120" s="492">
        <f>T119-T70</f>
        <v>0</v>
      </c>
      <c r="U120" s="492">
        <f>U119-U70</f>
        <v>0</v>
      </c>
      <c r="V120" s="483"/>
      <c r="W120" s="483"/>
      <c r="X120" s="483"/>
      <c r="Y120" s="483"/>
      <c r="Z120" s="483"/>
      <c r="AA120" s="483"/>
      <c r="AB120" s="483"/>
      <c r="AC120" s="483"/>
    </row>
    <row r="121" spans="1:29" s="427" customFormat="1" ht="18.75" hidden="1" customHeight="1">
      <c r="A121" s="1642" t="s">
        <v>529</v>
      </c>
      <c r="B121" s="1642"/>
      <c r="C121" s="1642"/>
      <c r="D121" s="1642"/>
      <c r="E121" s="1642"/>
      <c r="F121" s="1642"/>
      <c r="G121" s="1642"/>
      <c r="H121" s="1642"/>
      <c r="I121" s="1642"/>
      <c r="J121" s="1642"/>
      <c r="K121" s="1642"/>
      <c r="L121" s="1642"/>
      <c r="M121" s="1642"/>
      <c r="N121" s="1642"/>
      <c r="O121" s="426"/>
      <c r="P121" s="989"/>
      <c r="Q121" s="428"/>
      <c r="R121" s="428"/>
      <c r="S121" s="428"/>
      <c r="T121" s="428"/>
      <c r="U121" s="428"/>
      <c r="V121" s="428"/>
      <c r="W121" s="428"/>
      <c r="X121" s="428"/>
      <c r="Y121" s="428"/>
      <c r="Z121" s="428"/>
      <c r="AA121" s="428"/>
      <c r="AB121" s="428"/>
      <c r="AC121" s="428"/>
    </row>
    <row r="122" spans="1:29" s="427" customFormat="1" ht="30" hidden="1">
      <c r="A122" s="400" t="s">
        <v>655</v>
      </c>
      <c r="B122" s="501"/>
      <c r="C122" s="502"/>
      <c r="D122" s="502"/>
      <c r="E122" s="402" t="s">
        <v>260</v>
      </c>
      <c r="F122" s="502"/>
      <c r="G122" s="502"/>
      <c r="H122" s="502"/>
      <c r="I122" s="502"/>
      <c r="J122" s="502"/>
      <c r="K122" s="502"/>
      <c r="L122" s="407" t="s">
        <v>1396</v>
      </c>
      <c r="M122" s="408"/>
      <c r="N122" s="409" t="s">
        <v>256</v>
      </c>
      <c r="O122" s="426"/>
      <c r="P122" s="989"/>
      <c r="Q122" s="428"/>
      <c r="R122" s="428"/>
      <c r="S122" s="428"/>
      <c r="T122" s="428"/>
      <c r="U122" s="428"/>
      <c r="V122" s="428"/>
      <c r="W122" s="428"/>
      <c r="X122" s="428"/>
      <c r="Y122" s="428"/>
      <c r="Z122" s="428"/>
      <c r="AA122" s="428"/>
      <c r="AB122" s="428"/>
      <c r="AC122" s="428"/>
    </row>
    <row r="123" spans="1:29" s="386" customFormat="1" ht="17.25" hidden="1" customHeight="1">
      <c r="A123" s="503" t="s">
        <v>530</v>
      </c>
      <c r="B123" s="503"/>
      <c r="C123" s="504"/>
      <c r="D123" s="505"/>
      <c r="E123" s="506" t="s">
        <v>1675</v>
      </c>
      <c r="F123" s="507"/>
      <c r="G123" s="507"/>
      <c r="H123" s="508"/>
      <c r="I123" s="508"/>
      <c r="J123" s="508"/>
      <c r="K123" s="505"/>
      <c r="L123" s="509"/>
      <c r="M123" s="508"/>
      <c r="N123" s="510"/>
      <c r="O123" s="379"/>
      <c r="P123" s="992"/>
      <c r="Q123" s="387"/>
      <c r="R123" s="387"/>
      <c r="S123" s="387"/>
      <c r="T123" s="387"/>
      <c r="U123" s="387"/>
      <c r="V123" s="387"/>
      <c r="W123" s="387"/>
      <c r="X123" s="387"/>
      <c r="Y123" s="387"/>
      <c r="Z123" s="387"/>
      <c r="AA123" s="387"/>
      <c r="AB123" s="387"/>
      <c r="AC123" s="387"/>
    </row>
    <row r="124" spans="1:29" s="386" customFormat="1" ht="17.25" hidden="1" customHeight="1">
      <c r="A124" s="1153" t="s">
        <v>330</v>
      </c>
      <c r="B124" s="1153"/>
      <c r="C124" s="1154"/>
      <c r="D124" s="505"/>
      <c r="E124" s="1154"/>
      <c r="F124" s="507"/>
      <c r="G124" s="507"/>
      <c r="H124" s="508"/>
      <c r="I124" s="508"/>
      <c r="J124" s="508"/>
      <c r="K124" s="505"/>
      <c r="L124" s="1155"/>
      <c r="M124" s="508"/>
      <c r="N124" s="1155"/>
      <c r="O124" s="379"/>
      <c r="P124" s="992"/>
      <c r="Q124" s="387"/>
      <c r="R124" s="387"/>
      <c r="S124" s="387"/>
      <c r="T124" s="387"/>
      <c r="U124" s="387"/>
      <c r="V124" s="387"/>
      <c r="W124" s="387"/>
      <c r="X124" s="387"/>
      <c r="Y124" s="387"/>
      <c r="Z124" s="387"/>
      <c r="AA124" s="387"/>
      <c r="AB124" s="387"/>
      <c r="AC124" s="387"/>
    </row>
    <row r="125" spans="1:29" s="386" customFormat="1" ht="17.25" hidden="1" customHeight="1">
      <c r="A125" s="505" t="s">
        <v>531</v>
      </c>
      <c r="B125" s="505"/>
      <c r="C125" s="507"/>
      <c r="D125" s="505"/>
      <c r="E125" s="507"/>
      <c r="F125" s="507"/>
      <c r="G125" s="507"/>
      <c r="H125" s="508"/>
      <c r="I125" s="508"/>
      <c r="J125" s="508"/>
      <c r="K125" s="505"/>
      <c r="L125" s="508"/>
      <c r="M125" s="508"/>
      <c r="N125" s="508"/>
      <c r="O125" s="379"/>
      <c r="P125" s="992"/>
      <c r="Q125" s="387"/>
      <c r="R125" s="387"/>
      <c r="S125" s="387"/>
      <c r="T125" s="387"/>
      <c r="U125" s="387"/>
      <c r="V125" s="387"/>
      <c r="W125" s="387"/>
      <c r="X125" s="387"/>
      <c r="Y125" s="387"/>
      <c r="Z125" s="387"/>
      <c r="AA125" s="387"/>
      <c r="AB125" s="387"/>
      <c r="AC125" s="387"/>
    </row>
    <row r="126" spans="1:29" s="386" customFormat="1" ht="17.25" hidden="1" customHeight="1">
      <c r="A126" s="505" t="s">
        <v>331</v>
      </c>
      <c r="B126" s="505"/>
      <c r="C126" s="507"/>
      <c r="D126" s="505"/>
      <c r="E126" s="507"/>
      <c r="F126" s="507"/>
      <c r="G126" s="507"/>
      <c r="H126" s="508"/>
      <c r="I126" s="508"/>
      <c r="J126" s="508"/>
      <c r="K126" s="505"/>
      <c r="L126" s="508"/>
      <c r="M126" s="508"/>
      <c r="N126" s="508"/>
      <c r="O126" s="379"/>
      <c r="P126" s="992"/>
      <c r="Q126" s="387"/>
      <c r="R126" s="387"/>
      <c r="S126" s="387"/>
      <c r="T126" s="387"/>
      <c r="U126" s="387"/>
      <c r="V126" s="387"/>
      <c r="W126" s="387"/>
      <c r="X126" s="387"/>
      <c r="Y126" s="387"/>
      <c r="Z126" s="387"/>
      <c r="AA126" s="387"/>
      <c r="AB126" s="387"/>
      <c r="AC126" s="387"/>
    </row>
    <row r="127" spans="1:29" s="386" customFormat="1" ht="17.25" hidden="1" customHeight="1">
      <c r="A127" s="505" t="s">
        <v>332</v>
      </c>
      <c r="B127" s="505"/>
      <c r="C127" s="507"/>
      <c r="D127" s="505"/>
      <c r="E127" s="507"/>
      <c r="F127" s="507"/>
      <c r="G127" s="507"/>
      <c r="H127" s="508"/>
      <c r="I127" s="508"/>
      <c r="J127" s="508"/>
      <c r="K127" s="505"/>
      <c r="L127" s="1156"/>
      <c r="M127" s="508"/>
      <c r="N127" s="1156"/>
      <c r="O127" s="379"/>
      <c r="P127" s="992"/>
      <c r="Q127" s="387"/>
      <c r="R127" s="387"/>
      <c r="S127" s="387"/>
      <c r="T127" s="387"/>
      <c r="U127" s="387"/>
      <c r="V127" s="387"/>
      <c r="W127" s="387"/>
      <c r="X127" s="387"/>
      <c r="Y127" s="387"/>
      <c r="Z127" s="387"/>
      <c r="AA127" s="387"/>
      <c r="AB127" s="387"/>
      <c r="AC127" s="387"/>
    </row>
    <row r="128" spans="1:29" s="386" customFormat="1" ht="17.25" hidden="1" customHeight="1">
      <c r="A128" s="1151" t="s">
        <v>494</v>
      </c>
      <c r="B128" s="511"/>
      <c r="C128" s="512"/>
      <c r="D128" s="511"/>
      <c r="E128" s="512"/>
      <c r="F128" s="512"/>
      <c r="G128" s="512"/>
      <c r="H128" s="392"/>
      <c r="I128" s="392"/>
      <c r="J128" s="392"/>
      <c r="K128" s="511"/>
      <c r="L128" s="392"/>
      <c r="M128" s="392"/>
      <c r="N128" s="1152"/>
      <c r="O128" s="379"/>
      <c r="P128" s="992"/>
      <c r="Q128" s="387"/>
      <c r="R128" s="387"/>
      <c r="S128" s="387"/>
      <c r="T128" s="387"/>
      <c r="U128" s="387"/>
      <c r="V128" s="387"/>
      <c r="W128" s="387"/>
      <c r="X128" s="387"/>
      <c r="Y128" s="387"/>
      <c r="Z128" s="387"/>
      <c r="AA128" s="387"/>
      <c r="AB128" s="387"/>
      <c r="AC128" s="387"/>
    </row>
    <row r="129" spans="1:29" s="427" customFormat="1" ht="18" customHeight="1">
      <c r="A129" s="493"/>
      <c r="B129" s="494"/>
      <c r="C129" s="420"/>
      <c r="D129" s="494"/>
      <c r="E129" s="1640" t="str">
        <f>'Ten '!A19</f>
        <v>Hµ Néi, ngµy 30 th¸ng 07 n¨m 2013</v>
      </c>
      <c r="F129" s="1641"/>
      <c r="G129" s="1641"/>
      <c r="H129" s="1641"/>
      <c r="I129" s="1641"/>
      <c r="J129" s="1641"/>
      <c r="K129" s="1640"/>
      <c r="L129" s="1640"/>
      <c r="M129" s="1640"/>
      <c r="N129" s="1640"/>
      <c r="O129" s="426" t="s">
        <v>1528</v>
      </c>
      <c r="P129" s="989"/>
      <c r="Q129" s="428"/>
      <c r="R129" s="428"/>
      <c r="S129" s="428"/>
      <c r="T129" s="428"/>
      <c r="U129" s="428"/>
      <c r="V129" s="428"/>
      <c r="W129" s="428"/>
      <c r="X129" s="428"/>
      <c r="Y129" s="428"/>
      <c r="Z129" s="428"/>
      <c r="AA129" s="428"/>
      <c r="AB129" s="428"/>
      <c r="AC129" s="428"/>
    </row>
    <row r="130" spans="1:29" s="427" customFormat="1" ht="18" customHeight="1">
      <c r="A130" s="422" t="s">
        <v>283</v>
      </c>
      <c r="B130" s="1644" t="s">
        <v>707</v>
      </c>
      <c r="C130" s="1644"/>
      <c r="D130" s="1644"/>
      <c r="E130" s="1644"/>
      <c r="F130" s="513"/>
      <c r="G130" s="494"/>
      <c r="H130" s="1632" t="str">
        <f>'Ten '!B14</f>
        <v>Tæng Gi¸m ®èc</v>
      </c>
      <c r="I130" s="1632"/>
      <c r="J130" s="1632"/>
      <c r="K130" s="1632"/>
      <c r="L130" s="1632"/>
      <c r="M130" s="1632"/>
      <c r="N130" s="1632"/>
      <c r="O130" s="426" t="s">
        <v>1528</v>
      </c>
      <c r="P130" s="989"/>
      <c r="Q130" s="428"/>
      <c r="R130" s="428"/>
      <c r="S130" s="428"/>
      <c r="T130" s="428"/>
      <c r="U130" s="428"/>
      <c r="V130" s="428"/>
      <c r="W130" s="428"/>
      <c r="X130" s="428"/>
      <c r="Y130" s="428"/>
      <c r="Z130" s="428"/>
      <c r="AA130" s="428"/>
      <c r="AB130" s="428"/>
      <c r="AC130" s="428"/>
    </row>
    <row r="131" spans="1:29" s="427" customFormat="1" ht="18" customHeight="1">
      <c r="A131" s="493"/>
      <c r="B131" s="494"/>
      <c r="C131" s="420"/>
      <c r="D131" s="494"/>
      <c r="E131" s="420"/>
      <c r="F131" s="420"/>
      <c r="G131" s="420"/>
      <c r="H131" s="495"/>
      <c r="I131" s="495"/>
      <c r="J131" s="495"/>
      <c r="K131" s="420"/>
      <c r="L131" s="420"/>
      <c r="M131" s="420"/>
      <c r="N131" s="420"/>
      <c r="O131" s="426" t="s">
        <v>1528</v>
      </c>
      <c r="P131" s="989"/>
      <c r="Q131" s="428"/>
      <c r="R131" s="428"/>
      <c r="S131" s="428"/>
      <c r="T131" s="428"/>
      <c r="U131" s="428"/>
      <c r="V131" s="428"/>
      <c r="W131" s="428"/>
      <c r="X131" s="428"/>
      <c r="Y131" s="428"/>
      <c r="Z131" s="428"/>
      <c r="AA131" s="428"/>
      <c r="AB131" s="428"/>
      <c r="AC131" s="428"/>
    </row>
    <row r="132" spans="1:29" s="427" customFormat="1" ht="15" customHeight="1">
      <c r="A132" s="493"/>
      <c r="B132" s="494"/>
      <c r="C132" s="420"/>
      <c r="D132" s="494"/>
      <c r="E132" s="420"/>
      <c r="F132" s="420"/>
      <c r="G132" s="420"/>
      <c r="H132" s="495"/>
      <c r="I132" s="495"/>
      <c r="J132" s="495"/>
      <c r="K132" s="420"/>
      <c r="L132" s="420"/>
      <c r="M132" s="420"/>
      <c r="N132" s="420"/>
      <c r="O132" s="426" t="s">
        <v>1528</v>
      </c>
      <c r="P132" s="989"/>
      <c r="Q132" s="428"/>
      <c r="R132" s="428"/>
      <c r="S132" s="428"/>
      <c r="T132" s="428"/>
      <c r="U132" s="428"/>
      <c r="V132" s="428"/>
      <c r="W132" s="428"/>
      <c r="X132" s="428"/>
      <c r="Y132" s="428"/>
      <c r="Z132" s="428"/>
      <c r="AA132" s="428"/>
      <c r="AB132" s="428"/>
      <c r="AC132" s="428"/>
    </row>
    <row r="133" spans="1:29" s="427" customFormat="1" ht="18.75" customHeight="1">
      <c r="A133" s="493"/>
      <c r="B133" s="494"/>
      <c r="C133" s="420"/>
      <c r="D133" s="494"/>
      <c r="E133" s="420"/>
      <c r="F133" s="420"/>
      <c r="G133" s="420"/>
      <c r="H133" s="495"/>
      <c r="I133" s="495"/>
      <c r="J133" s="495"/>
      <c r="K133" s="420"/>
      <c r="L133" s="514"/>
      <c r="M133" s="420"/>
      <c r="N133" s="420"/>
      <c r="O133" s="426" t="s">
        <v>1528</v>
      </c>
      <c r="P133" s="989"/>
      <c r="Q133" s="428"/>
      <c r="R133" s="428"/>
      <c r="S133" s="428"/>
      <c r="T133" s="428"/>
      <c r="U133" s="428"/>
      <c r="V133" s="428"/>
      <c r="W133" s="428"/>
      <c r="X133" s="428"/>
      <c r="Y133" s="428"/>
      <c r="Z133" s="428"/>
      <c r="AA133" s="428"/>
      <c r="AB133" s="428"/>
      <c r="AC133" s="428"/>
    </row>
    <row r="134" spans="1:29" s="515" customFormat="1" ht="36" customHeight="1">
      <c r="A134" s="493"/>
      <c r="B134" s="494"/>
      <c r="C134" s="420"/>
      <c r="D134" s="494"/>
      <c r="E134" s="420"/>
      <c r="F134" s="420"/>
      <c r="G134" s="420"/>
      <c r="H134" s="495"/>
      <c r="I134" s="495"/>
      <c r="J134" s="495"/>
      <c r="K134" s="420"/>
      <c r="L134" s="420"/>
      <c r="M134" s="420"/>
      <c r="N134" s="420"/>
      <c r="O134" s="426" t="s">
        <v>1528</v>
      </c>
      <c r="P134" s="993"/>
      <c r="Q134" s="516"/>
      <c r="R134" s="516"/>
      <c r="S134" s="516"/>
      <c r="T134" s="516"/>
      <c r="U134" s="516"/>
      <c r="V134" s="516"/>
      <c r="W134" s="516"/>
      <c r="X134" s="516"/>
      <c r="Y134" s="516"/>
      <c r="Z134" s="516"/>
      <c r="AA134" s="516"/>
      <c r="AB134" s="516"/>
      <c r="AC134" s="516"/>
    </row>
    <row r="135" spans="1:29" s="515" customFormat="1" ht="18" customHeight="1">
      <c r="A135" s="422" t="s">
        <v>393</v>
      </c>
      <c r="B135" s="1644" t="s">
        <v>1245</v>
      </c>
      <c r="C135" s="1644"/>
      <c r="D135" s="1644"/>
      <c r="E135" s="1644"/>
      <c r="F135" s="1644"/>
      <c r="G135" s="420"/>
      <c r="H135" s="1633" t="str">
        <f>'Ten '!B15</f>
        <v>Hoµng V¨n To¶n</v>
      </c>
      <c r="I135" s="1633"/>
      <c r="J135" s="1633"/>
      <c r="K135" s="1633"/>
      <c r="L135" s="1633"/>
      <c r="M135" s="1633"/>
      <c r="N135" s="1633"/>
      <c r="O135" s="426" t="s">
        <v>1528</v>
      </c>
      <c r="P135" s="993"/>
      <c r="Q135" s="516"/>
      <c r="R135" s="516"/>
      <c r="S135" s="516"/>
      <c r="T135" s="516"/>
      <c r="U135" s="516"/>
      <c r="V135" s="516"/>
      <c r="W135" s="516"/>
      <c r="X135" s="516"/>
      <c r="Y135" s="516"/>
      <c r="Z135" s="516"/>
      <c r="AA135" s="516"/>
      <c r="AB135" s="516"/>
      <c r="AC135" s="516"/>
    </row>
    <row r="136" spans="1:29" s="515" customFormat="1" ht="18" customHeight="1">
      <c r="A136" s="422"/>
      <c r="B136" s="420"/>
      <c r="C136" s="420"/>
      <c r="D136" s="420"/>
      <c r="E136" s="420"/>
      <c r="F136" s="420"/>
      <c r="G136" s="420"/>
      <c r="H136" s="495"/>
      <c r="I136" s="495"/>
      <c r="J136" s="495"/>
      <c r="K136" s="420"/>
      <c r="L136" s="513"/>
      <c r="M136" s="513"/>
      <c r="N136" s="513"/>
      <c r="O136" s="517"/>
      <c r="P136" s="993"/>
      <c r="Q136" s="516"/>
      <c r="R136" s="516"/>
      <c r="S136" s="516"/>
      <c r="T136" s="516"/>
      <c r="U136" s="516"/>
      <c r="V136" s="516"/>
      <c r="W136" s="516"/>
      <c r="X136" s="516"/>
      <c r="Y136" s="516"/>
      <c r="Z136" s="516"/>
      <c r="AA136" s="516"/>
      <c r="AB136" s="516"/>
      <c r="AC136" s="516"/>
    </row>
    <row r="137" spans="1:29" s="515" customFormat="1" ht="18" customHeight="1">
      <c r="A137" s="422"/>
      <c r="B137" s="420"/>
      <c r="C137" s="420"/>
      <c r="D137" s="420"/>
      <c r="E137" s="420"/>
      <c r="F137" s="420"/>
      <c r="G137" s="420"/>
      <c r="H137" s="495"/>
      <c r="I137" s="495"/>
      <c r="J137" s="495"/>
      <c r="K137" s="420"/>
      <c r="L137" s="513"/>
      <c r="M137" s="513"/>
      <c r="N137" s="513">
        <f ca="1">L120+221816716</f>
        <v>221816716</v>
      </c>
      <c r="O137" s="517"/>
      <c r="P137" s="993"/>
      <c r="Q137" s="516"/>
      <c r="R137" s="516"/>
      <c r="S137" s="516"/>
      <c r="T137" s="516"/>
      <c r="U137" s="516"/>
      <c r="V137" s="516"/>
      <c r="W137" s="516"/>
      <c r="X137" s="516"/>
      <c r="Y137" s="516"/>
      <c r="Z137" s="516"/>
      <c r="AA137" s="516"/>
      <c r="AB137" s="516"/>
      <c r="AC137" s="516"/>
    </row>
    <row r="138" spans="1:29" s="515" customFormat="1" ht="18" customHeight="1">
      <c r="A138" s="422"/>
      <c r="B138" s="420"/>
      <c r="C138" s="420"/>
      <c r="D138" s="420"/>
      <c r="E138" s="420"/>
      <c r="F138" s="420"/>
      <c r="G138" s="420"/>
      <c r="H138" s="495"/>
      <c r="I138" s="495"/>
      <c r="J138" s="495"/>
      <c r="K138" s="420"/>
      <c r="L138" s="513"/>
      <c r="M138" s="513"/>
      <c r="N138" s="513"/>
      <c r="O138" s="517"/>
      <c r="P138" s="993"/>
      <c r="Q138" s="516"/>
      <c r="R138" s="516"/>
      <c r="S138" s="516"/>
      <c r="T138" s="516"/>
      <c r="U138" s="516"/>
      <c r="V138" s="516"/>
      <c r="W138" s="516"/>
      <c r="X138" s="516"/>
      <c r="Y138" s="516"/>
      <c r="Z138" s="516"/>
      <c r="AA138" s="516"/>
      <c r="AB138" s="516"/>
      <c r="AC138" s="516"/>
    </row>
    <row r="139" spans="1:29" s="515" customFormat="1" ht="15" customHeight="1">
      <c r="A139" s="422"/>
      <c r="B139" s="420"/>
      <c r="C139" s="420"/>
      <c r="D139" s="420"/>
      <c r="E139" s="420"/>
      <c r="F139" s="420"/>
      <c r="G139" s="420"/>
      <c r="H139" s="495"/>
      <c r="I139" s="495"/>
      <c r="J139" s="495"/>
      <c r="K139" s="420"/>
      <c r="L139" s="513"/>
      <c r="M139" s="513"/>
      <c r="N139" s="513"/>
      <c r="O139" s="517"/>
      <c r="P139" s="993"/>
      <c r="Q139" s="516"/>
      <c r="R139" s="516"/>
      <c r="S139" s="516"/>
      <c r="T139" s="516"/>
      <c r="U139" s="516"/>
      <c r="V139" s="516"/>
      <c r="W139" s="516"/>
      <c r="X139" s="516"/>
      <c r="Y139" s="516"/>
      <c r="Z139" s="516"/>
      <c r="AA139" s="516"/>
      <c r="AB139" s="516"/>
      <c r="AC139" s="516"/>
    </row>
    <row r="140" spans="1:29" ht="18" customHeight="1">
      <c r="A140" s="500"/>
      <c r="B140" s="472"/>
      <c r="C140" s="473"/>
      <c r="D140" s="472"/>
      <c r="E140" s="473"/>
      <c r="F140" s="473"/>
      <c r="G140" s="473"/>
      <c r="H140" s="474"/>
      <c r="I140" s="474"/>
      <c r="J140" s="474"/>
      <c r="K140" s="472"/>
      <c r="L140" s="474"/>
      <c r="M140" s="474"/>
      <c r="N140" s="474"/>
    </row>
    <row r="141" spans="1:29" ht="18" customHeight="1">
      <c r="A141" s="500"/>
      <c r="B141" s="472"/>
      <c r="C141" s="473"/>
      <c r="D141" s="472"/>
      <c r="E141" s="473"/>
      <c r="F141" s="473"/>
      <c r="G141" s="473"/>
      <c r="H141" s="474"/>
      <c r="I141" s="474"/>
      <c r="J141" s="474"/>
      <c r="K141" s="472"/>
      <c r="L141" s="474"/>
      <c r="M141" s="474"/>
      <c r="N141" s="474"/>
    </row>
    <row r="142" spans="1:29" ht="18" customHeight="1">
      <c r="A142" s="500"/>
      <c r="B142" s="472"/>
      <c r="C142" s="473"/>
      <c r="D142" s="472"/>
      <c r="E142" s="473"/>
      <c r="F142" s="473"/>
      <c r="G142" s="473"/>
      <c r="H142" s="474"/>
      <c r="I142" s="474"/>
      <c r="J142" s="474"/>
      <c r="K142" s="472"/>
      <c r="L142" s="474"/>
      <c r="M142" s="474"/>
      <c r="N142" s="474"/>
    </row>
    <row r="143" spans="1:29" ht="18" customHeight="1">
      <c r="A143" s="500"/>
      <c r="B143" s="472"/>
      <c r="C143" s="473"/>
      <c r="D143" s="472"/>
      <c r="E143" s="473"/>
      <c r="F143" s="473"/>
      <c r="G143" s="473"/>
      <c r="H143" s="474"/>
      <c r="I143" s="474"/>
      <c r="J143" s="474"/>
      <c r="K143" s="472"/>
      <c r="L143" s="474"/>
      <c r="M143" s="474"/>
      <c r="N143" s="474"/>
    </row>
    <row r="144" spans="1:29" ht="18" customHeight="1">
      <c r="A144" s="500"/>
      <c r="B144" s="472"/>
      <c r="C144" s="473"/>
      <c r="D144" s="472"/>
      <c r="E144" s="473"/>
      <c r="F144" s="473"/>
      <c r="G144" s="473"/>
      <c r="H144" s="474"/>
      <c r="I144" s="474"/>
      <c r="J144" s="474"/>
      <c r="K144" s="472"/>
      <c r="L144" s="474"/>
      <c r="M144" s="474"/>
      <c r="N144" s="474"/>
    </row>
    <row r="145" spans="1:14" ht="18" customHeight="1">
      <c r="A145" s="500"/>
      <c r="B145" s="472"/>
      <c r="C145" s="473"/>
      <c r="D145" s="472"/>
      <c r="E145" s="473"/>
      <c r="F145" s="473"/>
      <c r="G145" s="473"/>
      <c r="H145" s="474"/>
      <c r="I145" s="474"/>
      <c r="J145" s="474"/>
      <c r="K145" s="472"/>
      <c r="L145" s="474">
        <f>11480191617+11547901800+P3</f>
        <v>23751723917</v>
      </c>
      <c r="M145" s="474"/>
      <c r="N145" s="474"/>
    </row>
    <row r="146" spans="1:14" ht="18" customHeight="1">
      <c r="A146" s="500"/>
      <c r="B146" s="472"/>
      <c r="C146" s="473"/>
      <c r="D146" s="472"/>
      <c r="E146" s="473"/>
      <c r="F146" s="473"/>
      <c r="G146" s="473"/>
      <c r="H146" s="474"/>
      <c r="I146" s="474"/>
      <c r="J146" s="474"/>
      <c r="K146" s="472"/>
      <c r="L146" s="474"/>
      <c r="M146" s="474"/>
      <c r="N146" s="474"/>
    </row>
    <row r="147" spans="1:14" ht="18" customHeight="1">
      <c r="A147" s="500"/>
      <c r="B147" s="472"/>
      <c r="C147" s="473"/>
      <c r="D147" s="472"/>
      <c r="E147" s="473"/>
      <c r="F147" s="473"/>
      <c r="G147" s="473"/>
      <c r="H147" s="474"/>
      <c r="I147" s="474"/>
      <c r="J147" s="474"/>
      <c r="K147" s="472"/>
      <c r="L147" s="474"/>
      <c r="M147" s="474"/>
      <c r="N147" s="474"/>
    </row>
    <row r="148" spans="1:14" ht="18" customHeight="1">
      <c r="A148" s="500"/>
      <c r="B148" s="472"/>
      <c r="C148" s="473"/>
      <c r="D148" s="472"/>
      <c r="E148" s="473"/>
      <c r="F148" s="473"/>
      <c r="G148" s="473"/>
      <c r="H148" s="474"/>
      <c r="I148" s="474"/>
      <c r="J148" s="474"/>
      <c r="K148" s="472"/>
      <c r="L148" s="474"/>
      <c r="M148" s="474"/>
      <c r="N148" s="474"/>
    </row>
    <row r="149" spans="1:14" ht="18" customHeight="1">
      <c r="A149" s="500"/>
      <c r="B149" s="472"/>
      <c r="C149" s="473"/>
      <c r="D149" s="472"/>
      <c r="E149" s="473"/>
      <c r="F149" s="473"/>
      <c r="G149" s="473"/>
      <c r="H149" s="474"/>
      <c r="I149" s="474"/>
      <c r="J149" s="474"/>
      <c r="K149" s="472"/>
      <c r="L149" s="474"/>
      <c r="M149" s="474"/>
      <c r="N149" s="474"/>
    </row>
    <row r="150" spans="1:14" ht="18" customHeight="1">
      <c r="A150" s="500"/>
      <c r="B150" s="472"/>
      <c r="C150" s="473"/>
      <c r="D150" s="472"/>
      <c r="E150" s="473"/>
      <c r="F150" s="473"/>
      <c r="G150" s="473"/>
      <c r="H150" s="474"/>
      <c r="I150" s="474"/>
      <c r="J150" s="474"/>
      <c r="K150" s="472"/>
      <c r="L150" s="474"/>
      <c r="M150" s="474"/>
      <c r="N150" s="474"/>
    </row>
    <row r="151" spans="1:14" ht="18" customHeight="1">
      <c r="A151" s="500"/>
      <c r="B151" s="472"/>
      <c r="C151" s="473"/>
      <c r="D151" s="472"/>
      <c r="E151" s="473"/>
      <c r="F151" s="473"/>
      <c r="G151" s="473"/>
      <c r="H151" s="474"/>
      <c r="I151" s="474"/>
      <c r="J151" s="474"/>
      <c r="K151" s="472"/>
      <c r="L151" s="474"/>
      <c r="M151" s="474"/>
      <c r="N151" s="474"/>
    </row>
    <row r="152" spans="1:14" ht="18" customHeight="1">
      <c r="A152" s="500"/>
      <c r="B152" s="472"/>
      <c r="C152" s="473"/>
      <c r="D152" s="472"/>
      <c r="E152" s="473"/>
      <c r="F152" s="473"/>
      <c r="G152" s="473"/>
      <c r="H152" s="474"/>
      <c r="I152" s="474"/>
      <c r="J152" s="474"/>
      <c r="K152" s="472"/>
      <c r="L152" s="474"/>
      <c r="M152" s="474"/>
      <c r="N152" s="474"/>
    </row>
    <row r="153" spans="1:14" ht="18" customHeight="1">
      <c r="A153" s="500"/>
      <c r="B153" s="472"/>
      <c r="C153" s="473"/>
      <c r="D153" s="472"/>
      <c r="E153" s="473"/>
      <c r="F153" s="473"/>
      <c r="G153" s="473"/>
      <c r="H153" s="474"/>
      <c r="I153" s="474"/>
      <c r="J153" s="474"/>
      <c r="K153" s="472"/>
      <c r="L153" s="474"/>
      <c r="M153" s="474"/>
      <c r="N153" s="474"/>
    </row>
    <row r="154" spans="1:14">
      <c r="A154" s="500"/>
      <c r="B154" s="472"/>
      <c r="C154" s="473"/>
      <c r="D154" s="472"/>
      <c r="E154" s="473"/>
      <c r="F154" s="473"/>
      <c r="G154" s="473"/>
      <c r="H154" s="474"/>
      <c r="I154" s="474"/>
      <c r="J154" s="474"/>
      <c r="K154" s="472"/>
      <c r="L154" s="474"/>
      <c r="M154" s="474"/>
      <c r="N154" s="474"/>
    </row>
    <row r="155" spans="1:14">
      <c r="A155" s="500"/>
      <c r="B155" s="472"/>
      <c r="C155" s="473"/>
      <c r="D155" s="472"/>
      <c r="E155" s="473"/>
      <c r="F155" s="473"/>
      <c r="G155" s="473"/>
      <c r="H155" s="474"/>
      <c r="I155" s="474"/>
      <c r="J155" s="474"/>
      <c r="K155" s="472"/>
      <c r="L155" s="474"/>
      <c r="M155" s="474"/>
      <c r="N155" s="474"/>
    </row>
    <row r="156" spans="1:14">
      <c r="A156" s="500"/>
      <c r="B156" s="472"/>
      <c r="C156" s="473"/>
      <c r="D156" s="472"/>
      <c r="E156" s="473"/>
      <c r="F156" s="473"/>
      <c r="G156" s="473"/>
      <c r="H156" s="474"/>
      <c r="I156" s="474"/>
      <c r="J156" s="474"/>
      <c r="K156" s="472"/>
      <c r="L156" s="474"/>
      <c r="M156" s="474"/>
      <c r="N156" s="474"/>
    </row>
    <row r="157" spans="1:14">
      <c r="A157" s="500"/>
      <c r="B157" s="472"/>
      <c r="C157" s="473"/>
      <c r="D157" s="472"/>
      <c r="E157" s="473"/>
      <c r="F157" s="473"/>
      <c r="G157" s="473"/>
      <c r="H157" s="474"/>
      <c r="I157" s="474"/>
      <c r="J157" s="474"/>
      <c r="K157" s="472"/>
      <c r="L157" s="474"/>
      <c r="M157" s="474"/>
      <c r="N157" s="474"/>
    </row>
    <row r="158" spans="1:14">
      <c r="A158" s="500"/>
      <c r="B158" s="472"/>
      <c r="C158" s="473"/>
      <c r="D158" s="472"/>
      <c r="E158" s="473"/>
      <c r="F158" s="473"/>
      <c r="G158" s="473"/>
      <c r="H158" s="474"/>
      <c r="I158" s="474"/>
      <c r="J158" s="474"/>
      <c r="K158" s="472"/>
      <c r="L158" s="474"/>
      <c r="M158" s="474"/>
      <c r="N158" s="474"/>
    </row>
    <row r="159" spans="1:14">
      <c r="A159" s="500"/>
      <c r="B159" s="472"/>
      <c r="C159" s="473"/>
      <c r="D159" s="472"/>
      <c r="E159" s="473"/>
      <c r="F159" s="473"/>
      <c r="G159" s="473"/>
      <c r="H159" s="474"/>
      <c r="I159" s="474"/>
      <c r="J159" s="474"/>
      <c r="K159" s="472"/>
      <c r="L159" s="474"/>
      <c r="M159" s="474"/>
      <c r="N159" s="474"/>
    </row>
    <row r="160" spans="1:14">
      <c r="A160" s="500"/>
      <c r="B160" s="472"/>
      <c r="C160" s="473"/>
      <c r="D160" s="472"/>
      <c r="E160" s="473"/>
      <c r="F160" s="473"/>
      <c r="G160" s="473"/>
      <c r="H160" s="474"/>
      <c r="I160" s="474"/>
      <c r="J160" s="474"/>
      <c r="K160" s="472"/>
      <c r="L160" s="474"/>
      <c r="M160" s="474"/>
      <c r="N160" s="474"/>
    </row>
    <row r="161" spans="1:14">
      <c r="A161" s="500"/>
      <c r="B161" s="472"/>
      <c r="C161" s="473"/>
      <c r="D161" s="472"/>
      <c r="E161" s="473"/>
      <c r="F161" s="473"/>
      <c r="G161" s="473"/>
      <c r="H161" s="474"/>
      <c r="I161" s="474"/>
      <c r="J161" s="474"/>
      <c r="K161" s="472"/>
      <c r="L161" s="474"/>
      <c r="M161" s="474"/>
      <c r="N161" s="474"/>
    </row>
    <row r="162" spans="1:14">
      <c r="A162" s="500"/>
      <c r="B162" s="472"/>
      <c r="C162" s="473"/>
      <c r="D162" s="472"/>
      <c r="E162" s="473"/>
      <c r="F162" s="473"/>
      <c r="G162" s="473"/>
      <c r="H162" s="474"/>
      <c r="I162" s="474"/>
      <c r="J162" s="474"/>
      <c r="K162" s="472"/>
      <c r="L162" s="474"/>
      <c r="M162" s="474"/>
      <c r="N162" s="474"/>
    </row>
    <row r="163" spans="1:14">
      <c r="A163" s="500"/>
      <c r="B163" s="472"/>
      <c r="C163" s="473"/>
      <c r="D163" s="472"/>
      <c r="E163" s="473"/>
      <c r="F163" s="473"/>
      <c r="G163" s="473"/>
      <c r="H163" s="474"/>
      <c r="I163" s="474"/>
      <c r="J163" s="474"/>
      <c r="K163" s="472"/>
      <c r="L163" s="474"/>
      <c r="M163" s="474"/>
      <c r="N163" s="474"/>
    </row>
    <row r="164" spans="1:14">
      <c r="A164" s="500"/>
      <c r="B164" s="472"/>
      <c r="C164" s="473"/>
      <c r="D164" s="472"/>
      <c r="E164" s="473"/>
      <c r="F164" s="473"/>
      <c r="G164" s="473"/>
      <c r="H164" s="474"/>
      <c r="I164" s="474"/>
      <c r="J164" s="474"/>
      <c r="K164" s="472"/>
      <c r="L164" s="474"/>
      <c r="M164" s="474"/>
      <c r="N164" s="474"/>
    </row>
    <row r="165" spans="1:14">
      <c r="A165" s="500"/>
      <c r="B165" s="472"/>
      <c r="C165" s="473"/>
      <c r="D165" s="472"/>
      <c r="E165" s="473"/>
      <c r="F165" s="473"/>
      <c r="G165" s="473"/>
      <c r="H165" s="474"/>
      <c r="I165" s="474"/>
      <c r="J165" s="474"/>
      <c r="K165" s="472"/>
      <c r="L165" s="474"/>
      <c r="M165" s="474"/>
      <c r="N165" s="474"/>
    </row>
    <row r="166" spans="1:14">
      <c r="A166" s="500"/>
      <c r="B166" s="472"/>
      <c r="C166" s="473"/>
      <c r="D166" s="472"/>
      <c r="E166" s="473"/>
      <c r="F166" s="473"/>
      <c r="G166" s="473"/>
      <c r="H166" s="474"/>
      <c r="I166" s="474"/>
      <c r="J166" s="474"/>
      <c r="K166" s="472"/>
      <c r="L166" s="474"/>
      <c r="M166" s="474"/>
      <c r="N166" s="474"/>
    </row>
    <row r="167" spans="1:14">
      <c r="A167" s="500"/>
      <c r="B167" s="472"/>
      <c r="C167" s="473"/>
      <c r="D167" s="472"/>
      <c r="E167" s="473"/>
      <c r="F167" s="473"/>
      <c r="G167" s="473"/>
      <c r="H167" s="474"/>
      <c r="I167" s="474"/>
      <c r="J167" s="474"/>
      <c r="K167" s="472"/>
      <c r="L167" s="474"/>
      <c r="M167" s="474"/>
      <c r="N167" s="474"/>
    </row>
    <row r="168" spans="1:14">
      <c r="A168" s="500"/>
      <c r="B168" s="472"/>
      <c r="C168" s="473"/>
      <c r="D168" s="472"/>
      <c r="E168" s="473"/>
      <c r="F168" s="473"/>
      <c r="G168" s="473"/>
      <c r="H168" s="474"/>
      <c r="I168" s="474"/>
      <c r="J168" s="474"/>
      <c r="K168" s="472"/>
      <c r="L168" s="474"/>
      <c r="M168" s="474"/>
      <c r="N168" s="474"/>
    </row>
    <row r="169" spans="1:14">
      <c r="A169" s="500"/>
      <c r="B169" s="472"/>
      <c r="C169" s="473"/>
      <c r="D169" s="472"/>
      <c r="E169" s="473"/>
      <c r="F169" s="473"/>
      <c r="G169" s="473"/>
      <c r="H169" s="474"/>
      <c r="I169" s="474"/>
      <c r="J169" s="474"/>
      <c r="K169" s="472"/>
      <c r="L169" s="474"/>
      <c r="M169" s="474"/>
      <c r="N169" s="474"/>
    </row>
    <row r="170" spans="1:14">
      <c r="A170" s="500"/>
      <c r="B170" s="472"/>
      <c r="C170" s="473"/>
      <c r="D170" s="472"/>
      <c r="E170" s="473"/>
      <c r="F170" s="473"/>
      <c r="G170" s="473"/>
      <c r="H170" s="474"/>
      <c r="I170" s="474"/>
      <c r="J170" s="474"/>
      <c r="K170" s="472"/>
      <c r="L170" s="474"/>
      <c r="M170" s="474"/>
      <c r="N170" s="474"/>
    </row>
    <row r="171" spans="1:14">
      <c r="A171" s="500"/>
      <c r="B171" s="472"/>
      <c r="C171" s="473"/>
      <c r="D171" s="472"/>
      <c r="E171" s="473"/>
      <c r="F171" s="473"/>
      <c r="G171" s="473"/>
      <c r="H171" s="474"/>
      <c r="I171" s="474"/>
      <c r="J171" s="474"/>
      <c r="K171" s="472"/>
      <c r="L171" s="474"/>
      <c r="M171" s="474"/>
      <c r="N171" s="474"/>
    </row>
    <row r="172" spans="1:14">
      <c r="A172" s="500"/>
      <c r="B172" s="472"/>
      <c r="C172" s="473"/>
      <c r="D172" s="472"/>
      <c r="E172" s="473"/>
      <c r="F172" s="473"/>
      <c r="G172" s="473"/>
      <c r="H172" s="474"/>
      <c r="I172" s="474"/>
      <c r="J172" s="474"/>
      <c r="K172" s="472"/>
      <c r="L172" s="474"/>
      <c r="M172" s="474"/>
      <c r="N172" s="474"/>
    </row>
    <row r="173" spans="1:14">
      <c r="A173" s="500"/>
      <c r="B173" s="472"/>
      <c r="C173" s="473"/>
      <c r="D173" s="472"/>
      <c r="E173" s="473"/>
      <c r="F173" s="473"/>
      <c r="G173" s="473"/>
      <c r="H173" s="474"/>
      <c r="I173" s="474"/>
      <c r="J173" s="474"/>
      <c r="K173" s="472"/>
      <c r="L173" s="474"/>
      <c r="M173" s="474"/>
      <c r="N173" s="474"/>
    </row>
    <row r="174" spans="1:14">
      <c r="A174" s="500"/>
      <c r="B174" s="472"/>
      <c r="C174" s="473"/>
      <c r="D174" s="472"/>
      <c r="E174" s="473"/>
      <c r="F174" s="473"/>
      <c r="G174" s="473"/>
      <c r="H174" s="474"/>
      <c r="I174" s="474"/>
      <c r="J174" s="474"/>
      <c r="K174" s="472"/>
      <c r="L174" s="474"/>
      <c r="M174" s="474"/>
      <c r="N174" s="474"/>
    </row>
    <row r="175" spans="1:14">
      <c r="A175" s="500"/>
      <c r="B175" s="472"/>
      <c r="C175" s="473"/>
      <c r="D175" s="472"/>
      <c r="E175" s="473"/>
      <c r="F175" s="473"/>
      <c r="G175" s="473"/>
      <c r="H175" s="474"/>
      <c r="I175" s="474"/>
      <c r="J175" s="474"/>
      <c r="K175" s="472"/>
      <c r="L175" s="474"/>
      <c r="M175" s="474"/>
      <c r="N175" s="474"/>
    </row>
    <row r="176" spans="1:14">
      <c r="A176" s="500"/>
      <c r="B176" s="472"/>
      <c r="C176" s="473"/>
      <c r="D176" s="472"/>
      <c r="E176" s="473"/>
      <c r="F176" s="473"/>
      <c r="G176" s="473"/>
      <c r="H176" s="474"/>
      <c r="I176" s="474"/>
      <c r="J176" s="474"/>
      <c r="K176" s="472"/>
      <c r="L176" s="474"/>
      <c r="M176" s="474"/>
      <c r="N176" s="474"/>
    </row>
    <row r="177" spans="1:14">
      <c r="A177" s="500"/>
      <c r="B177" s="472"/>
      <c r="C177" s="473"/>
      <c r="D177" s="472"/>
      <c r="E177" s="473"/>
      <c r="F177" s="473"/>
      <c r="G177" s="473"/>
      <c r="H177" s="474"/>
      <c r="I177" s="474"/>
      <c r="J177" s="474"/>
      <c r="K177" s="472"/>
      <c r="L177" s="474"/>
      <c r="M177" s="474"/>
      <c r="N177" s="474"/>
    </row>
    <row r="178" spans="1:14">
      <c r="A178" s="500"/>
      <c r="B178" s="472"/>
      <c r="C178" s="473"/>
      <c r="D178" s="472"/>
      <c r="E178" s="473"/>
      <c r="F178" s="473"/>
      <c r="G178" s="473"/>
      <c r="H178" s="474"/>
      <c r="I178" s="474"/>
      <c r="J178" s="474"/>
      <c r="K178" s="472"/>
      <c r="L178" s="474"/>
      <c r="M178" s="474"/>
      <c r="N178" s="474"/>
    </row>
    <row r="179" spans="1:14">
      <c r="A179" s="500"/>
      <c r="B179" s="472"/>
      <c r="C179" s="473"/>
      <c r="D179" s="472"/>
      <c r="E179" s="473"/>
      <c r="F179" s="473"/>
      <c r="G179" s="473"/>
      <c r="H179" s="474"/>
      <c r="I179" s="474"/>
      <c r="J179" s="474"/>
      <c r="K179" s="472"/>
      <c r="L179" s="474"/>
      <c r="M179" s="474"/>
      <c r="N179" s="474"/>
    </row>
    <row r="180" spans="1:14">
      <c r="A180" s="500"/>
      <c r="B180" s="472"/>
      <c r="C180" s="473"/>
      <c r="D180" s="472"/>
      <c r="E180" s="473"/>
      <c r="F180" s="473"/>
      <c r="G180" s="473"/>
      <c r="H180" s="474"/>
      <c r="I180" s="474"/>
      <c r="J180" s="474"/>
      <c r="K180" s="472"/>
      <c r="L180" s="474"/>
      <c r="M180" s="474"/>
      <c r="N180" s="474"/>
    </row>
    <row r="181" spans="1:14">
      <c r="A181" s="500"/>
      <c r="B181" s="472"/>
      <c r="C181" s="473"/>
      <c r="D181" s="472"/>
      <c r="E181" s="473"/>
      <c r="F181" s="473"/>
      <c r="G181" s="473"/>
      <c r="H181" s="474"/>
      <c r="I181" s="474"/>
      <c r="J181" s="474"/>
      <c r="K181" s="472"/>
      <c r="L181" s="474"/>
      <c r="M181" s="474"/>
      <c r="N181" s="474"/>
    </row>
    <row r="182" spans="1:14">
      <c r="A182" s="500"/>
      <c r="B182" s="472"/>
      <c r="C182" s="473"/>
      <c r="D182" s="472"/>
      <c r="E182" s="473"/>
      <c r="F182" s="473"/>
      <c r="G182" s="473"/>
      <c r="H182" s="474"/>
      <c r="I182" s="474"/>
      <c r="J182" s="474"/>
      <c r="K182" s="472"/>
      <c r="L182" s="474"/>
      <c r="M182" s="474"/>
      <c r="N182" s="474"/>
    </row>
    <row r="183" spans="1:14">
      <c r="A183" s="500"/>
      <c r="B183" s="472"/>
      <c r="C183" s="473"/>
      <c r="D183" s="472"/>
      <c r="E183" s="473"/>
      <c r="F183" s="473"/>
      <c r="G183" s="473"/>
      <c r="H183" s="474"/>
      <c r="I183" s="474"/>
      <c r="J183" s="474"/>
      <c r="K183" s="472"/>
      <c r="L183" s="474"/>
      <c r="M183" s="474"/>
      <c r="N183" s="474"/>
    </row>
    <row r="184" spans="1:14">
      <c r="A184" s="500"/>
      <c r="B184" s="472"/>
      <c r="C184" s="473"/>
      <c r="D184" s="472"/>
      <c r="E184" s="473"/>
      <c r="F184" s="473"/>
      <c r="G184" s="473"/>
      <c r="H184" s="474"/>
      <c r="I184" s="474"/>
      <c r="J184" s="474"/>
      <c r="K184" s="472"/>
      <c r="L184" s="474"/>
      <c r="M184" s="474"/>
      <c r="N184" s="474"/>
    </row>
    <row r="185" spans="1:14">
      <c r="A185" s="500"/>
      <c r="B185" s="472"/>
      <c r="C185" s="473"/>
      <c r="D185" s="472"/>
      <c r="E185" s="473"/>
      <c r="F185" s="473"/>
      <c r="G185" s="473"/>
      <c r="H185" s="474"/>
      <c r="I185" s="474"/>
      <c r="J185" s="474"/>
      <c r="K185" s="472"/>
      <c r="L185" s="474"/>
      <c r="M185" s="474"/>
      <c r="N185" s="474"/>
    </row>
    <row r="186" spans="1:14">
      <c r="A186" s="500"/>
      <c r="B186" s="472"/>
      <c r="C186" s="473"/>
      <c r="D186" s="472"/>
      <c r="E186" s="473"/>
      <c r="F186" s="473"/>
      <c r="G186" s="473"/>
      <c r="H186" s="474"/>
      <c r="I186" s="474"/>
      <c r="J186" s="474"/>
      <c r="K186" s="472"/>
      <c r="L186" s="474"/>
      <c r="M186" s="474"/>
      <c r="N186" s="474"/>
    </row>
    <row r="187" spans="1:14">
      <c r="A187" s="500"/>
      <c r="B187" s="472"/>
      <c r="C187" s="473"/>
      <c r="D187" s="472"/>
      <c r="E187" s="473"/>
      <c r="F187" s="473"/>
      <c r="G187" s="473"/>
      <c r="H187" s="474"/>
      <c r="I187" s="474"/>
      <c r="J187" s="474"/>
      <c r="K187" s="472"/>
      <c r="L187" s="474"/>
      <c r="M187" s="474"/>
      <c r="N187" s="474"/>
    </row>
    <row r="188" spans="1:14">
      <c r="A188" s="500"/>
      <c r="B188" s="472"/>
      <c r="C188" s="473"/>
      <c r="D188" s="472"/>
      <c r="E188" s="473"/>
      <c r="F188" s="473"/>
      <c r="G188" s="473"/>
      <c r="H188" s="474"/>
      <c r="I188" s="474"/>
      <c r="J188" s="474"/>
      <c r="K188" s="472"/>
      <c r="L188" s="474"/>
      <c r="M188" s="474"/>
      <c r="N188" s="474"/>
    </row>
    <row r="189" spans="1:14">
      <c r="A189" s="500"/>
      <c r="B189" s="472"/>
      <c r="C189" s="473"/>
      <c r="D189" s="472"/>
      <c r="E189" s="473"/>
      <c r="F189" s="473"/>
      <c r="G189" s="473"/>
      <c r="H189" s="474"/>
      <c r="I189" s="474"/>
      <c r="J189" s="474"/>
      <c r="K189" s="472"/>
      <c r="L189" s="474"/>
      <c r="M189" s="474"/>
      <c r="N189" s="474"/>
    </row>
    <row r="190" spans="1:14">
      <c r="A190" s="500"/>
      <c r="B190" s="472"/>
      <c r="C190" s="473"/>
      <c r="D190" s="472"/>
      <c r="E190" s="473"/>
      <c r="F190" s="473"/>
      <c r="G190" s="473"/>
      <c r="H190" s="474"/>
      <c r="I190" s="474"/>
      <c r="J190" s="474"/>
      <c r="K190" s="472"/>
      <c r="L190" s="474"/>
      <c r="M190" s="474"/>
      <c r="N190" s="474"/>
    </row>
    <row r="191" spans="1:14">
      <c r="A191" s="500"/>
      <c r="B191" s="472"/>
      <c r="C191" s="473"/>
      <c r="D191" s="472"/>
      <c r="E191" s="473"/>
      <c r="F191" s="473"/>
      <c r="G191" s="473"/>
      <c r="H191" s="474"/>
      <c r="I191" s="474"/>
      <c r="J191" s="474"/>
      <c r="K191" s="472"/>
      <c r="L191" s="474"/>
      <c r="M191" s="474"/>
      <c r="N191" s="474"/>
    </row>
    <row r="192" spans="1:14">
      <c r="A192" s="500"/>
      <c r="B192" s="472"/>
      <c r="C192" s="473"/>
      <c r="D192" s="472"/>
      <c r="E192" s="473"/>
      <c r="F192" s="473"/>
      <c r="G192" s="473"/>
      <c r="H192" s="474"/>
      <c r="I192" s="474"/>
      <c r="J192" s="474"/>
      <c r="K192" s="472"/>
      <c r="L192" s="474"/>
      <c r="M192" s="474"/>
      <c r="N192" s="474"/>
    </row>
    <row r="193" spans="1:14">
      <c r="A193" s="500"/>
      <c r="B193" s="472"/>
      <c r="C193" s="473"/>
      <c r="D193" s="472"/>
      <c r="E193" s="473"/>
      <c r="F193" s="473"/>
      <c r="G193" s="473"/>
      <c r="H193" s="474"/>
      <c r="I193" s="474"/>
      <c r="J193" s="474"/>
      <c r="K193" s="472"/>
      <c r="L193" s="474"/>
      <c r="M193" s="474"/>
      <c r="N193" s="474"/>
    </row>
    <row r="194" spans="1:14">
      <c r="A194" s="500"/>
      <c r="B194" s="472"/>
      <c r="C194" s="473"/>
      <c r="D194" s="472"/>
      <c r="E194" s="473"/>
      <c r="F194" s="473"/>
      <c r="G194" s="473"/>
      <c r="H194" s="474"/>
      <c r="I194" s="474"/>
      <c r="J194" s="474"/>
      <c r="K194" s="472"/>
      <c r="L194" s="474"/>
      <c r="M194" s="474"/>
      <c r="N194" s="474"/>
    </row>
    <row r="195" spans="1:14">
      <c r="A195" s="500"/>
      <c r="B195" s="472"/>
      <c r="C195" s="473"/>
      <c r="D195" s="472"/>
      <c r="E195" s="473"/>
      <c r="F195" s="473"/>
      <c r="G195" s="473"/>
      <c r="H195" s="474"/>
      <c r="I195" s="474"/>
      <c r="J195" s="474"/>
      <c r="K195" s="472"/>
      <c r="L195" s="474"/>
      <c r="M195" s="474"/>
      <c r="N195" s="474"/>
    </row>
    <row r="196" spans="1:14">
      <c r="A196" s="500"/>
      <c r="B196" s="472"/>
      <c r="C196" s="473"/>
      <c r="D196" s="472"/>
      <c r="E196" s="473"/>
      <c r="F196" s="473"/>
      <c r="G196" s="473"/>
      <c r="H196" s="474"/>
      <c r="I196" s="474"/>
      <c r="J196" s="474"/>
      <c r="K196" s="472"/>
      <c r="L196" s="474"/>
      <c r="M196" s="474"/>
      <c r="N196" s="474"/>
    </row>
    <row r="197" spans="1:14">
      <c r="A197" s="500"/>
      <c r="B197" s="472"/>
      <c r="C197" s="473"/>
      <c r="D197" s="472"/>
      <c r="E197" s="473"/>
      <c r="F197" s="473"/>
      <c r="G197" s="473"/>
      <c r="H197" s="474"/>
      <c r="I197" s="474"/>
      <c r="J197" s="474"/>
      <c r="K197" s="472"/>
      <c r="L197" s="474"/>
      <c r="M197" s="474"/>
      <c r="N197" s="474"/>
    </row>
    <row r="198" spans="1:14">
      <c r="A198" s="500"/>
      <c r="B198" s="472"/>
      <c r="C198" s="473"/>
      <c r="D198" s="472"/>
      <c r="E198" s="473"/>
      <c r="F198" s="473"/>
      <c r="G198" s="473"/>
      <c r="H198" s="474"/>
      <c r="I198" s="474"/>
      <c r="J198" s="474"/>
      <c r="K198" s="472"/>
      <c r="L198" s="474"/>
      <c r="M198" s="474"/>
      <c r="N198" s="474"/>
    </row>
    <row r="199" spans="1:14">
      <c r="A199" s="500"/>
      <c r="B199" s="472"/>
      <c r="C199" s="473"/>
      <c r="D199" s="472"/>
      <c r="E199" s="473"/>
      <c r="F199" s="473"/>
      <c r="G199" s="473"/>
      <c r="H199" s="474"/>
      <c r="I199" s="474"/>
      <c r="J199" s="474"/>
      <c r="K199" s="472"/>
      <c r="L199" s="474"/>
      <c r="M199" s="474"/>
      <c r="N199" s="474"/>
    </row>
    <row r="200" spans="1:14">
      <c r="A200" s="500"/>
      <c r="B200" s="472"/>
      <c r="C200" s="473"/>
      <c r="D200" s="472"/>
      <c r="E200" s="473"/>
      <c r="F200" s="473"/>
      <c r="G200" s="473"/>
      <c r="H200" s="474"/>
      <c r="I200" s="474"/>
      <c r="J200" s="474"/>
      <c r="K200" s="472"/>
      <c r="L200" s="474"/>
      <c r="M200" s="474"/>
      <c r="N200" s="474"/>
    </row>
    <row r="201" spans="1:14">
      <c r="A201" s="500"/>
      <c r="B201" s="472"/>
      <c r="C201" s="473"/>
      <c r="D201" s="472"/>
      <c r="E201" s="473"/>
      <c r="F201" s="473"/>
      <c r="G201" s="473"/>
      <c r="H201" s="474"/>
      <c r="I201" s="474"/>
      <c r="J201" s="474"/>
      <c r="K201" s="472"/>
      <c r="L201" s="474"/>
      <c r="M201" s="474"/>
      <c r="N201" s="474"/>
    </row>
    <row r="202" spans="1:14">
      <c r="A202" s="500"/>
      <c r="B202" s="472"/>
      <c r="C202" s="473"/>
      <c r="D202" s="472"/>
      <c r="E202" s="473"/>
      <c r="F202" s="473"/>
      <c r="G202" s="473"/>
      <c r="H202" s="474"/>
      <c r="I202" s="474"/>
      <c r="J202" s="474"/>
      <c r="K202" s="472"/>
      <c r="L202" s="474"/>
      <c r="M202" s="474"/>
      <c r="N202" s="474"/>
    </row>
    <row r="203" spans="1:14">
      <c r="A203" s="500"/>
      <c r="B203" s="472"/>
      <c r="C203" s="473"/>
      <c r="D203" s="472"/>
      <c r="E203" s="473"/>
      <c r="F203" s="473"/>
      <c r="G203" s="473"/>
      <c r="H203" s="474"/>
      <c r="I203" s="474"/>
      <c r="J203" s="474"/>
      <c r="K203" s="472"/>
      <c r="L203" s="474"/>
      <c r="M203" s="474"/>
      <c r="N203" s="474"/>
    </row>
    <row r="204" spans="1:14">
      <c r="A204" s="500"/>
      <c r="B204" s="472"/>
      <c r="C204" s="473"/>
      <c r="D204" s="472"/>
      <c r="E204" s="473"/>
      <c r="F204" s="473"/>
      <c r="G204" s="473"/>
      <c r="H204" s="474"/>
      <c r="I204" s="474"/>
      <c r="J204" s="474"/>
      <c r="K204" s="472"/>
      <c r="L204" s="474"/>
      <c r="M204" s="474"/>
      <c r="N204" s="474"/>
    </row>
    <row r="205" spans="1:14">
      <c r="A205" s="500"/>
      <c r="B205" s="472"/>
      <c r="C205" s="473"/>
      <c r="D205" s="472"/>
      <c r="E205" s="473"/>
      <c r="F205" s="473"/>
      <c r="G205" s="473"/>
      <c r="H205" s="474"/>
      <c r="I205" s="474"/>
      <c r="J205" s="474"/>
      <c r="K205" s="472"/>
      <c r="L205" s="474"/>
      <c r="M205" s="474"/>
      <c r="N205" s="474"/>
    </row>
    <row r="206" spans="1:14">
      <c r="A206" s="500"/>
      <c r="B206" s="472"/>
      <c r="C206" s="473"/>
      <c r="D206" s="472"/>
      <c r="E206" s="473"/>
      <c r="F206" s="473"/>
      <c r="G206" s="473"/>
      <c r="H206" s="474"/>
      <c r="I206" s="474"/>
      <c r="J206" s="474"/>
      <c r="K206" s="472"/>
      <c r="L206" s="474"/>
      <c r="M206" s="474"/>
      <c r="N206" s="474"/>
    </row>
    <row r="207" spans="1:14">
      <c r="A207" s="500"/>
      <c r="B207" s="472"/>
      <c r="C207" s="473"/>
      <c r="D207" s="472"/>
      <c r="E207" s="473"/>
      <c r="F207" s="473"/>
      <c r="G207" s="473"/>
      <c r="H207" s="474"/>
      <c r="I207" s="474"/>
      <c r="J207" s="474"/>
      <c r="K207" s="472"/>
      <c r="L207" s="474"/>
      <c r="M207" s="474"/>
      <c r="N207" s="474"/>
    </row>
    <row r="208" spans="1:14">
      <c r="A208" s="500"/>
      <c r="B208" s="472"/>
      <c r="C208" s="473"/>
      <c r="D208" s="472"/>
      <c r="E208" s="473"/>
      <c r="F208" s="473"/>
      <c r="G208" s="473"/>
      <c r="H208" s="474"/>
      <c r="I208" s="474"/>
      <c r="J208" s="474"/>
      <c r="K208" s="472"/>
      <c r="L208" s="474"/>
      <c r="M208" s="474"/>
      <c r="N208" s="474"/>
    </row>
    <row r="209" spans="1:14">
      <c r="A209" s="500"/>
      <c r="B209" s="472"/>
      <c r="C209" s="473"/>
      <c r="D209" s="472"/>
      <c r="E209" s="473"/>
      <c r="F209" s="473"/>
      <c r="G209" s="473"/>
      <c r="H209" s="474"/>
      <c r="I209" s="474"/>
      <c r="J209" s="474"/>
      <c r="K209" s="472"/>
      <c r="L209" s="474"/>
      <c r="M209" s="474"/>
      <c r="N209" s="474"/>
    </row>
    <row r="210" spans="1:14">
      <c r="A210" s="500"/>
      <c r="B210" s="472"/>
      <c r="C210" s="473"/>
      <c r="D210" s="472"/>
      <c r="E210" s="473"/>
      <c r="F210" s="473"/>
      <c r="G210" s="473"/>
      <c r="H210" s="474"/>
      <c r="I210" s="474"/>
      <c r="J210" s="474"/>
      <c r="K210" s="472"/>
      <c r="L210" s="474"/>
      <c r="M210" s="474"/>
      <c r="N210" s="474"/>
    </row>
    <row r="211" spans="1:14">
      <c r="A211" s="500"/>
      <c r="B211" s="472"/>
      <c r="C211" s="473"/>
      <c r="D211" s="472"/>
      <c r="E211" s="473"/>
      <c r="F211" s="473"/>
      <c r="G211" s="473"/>
      <c r="H211" s="474"/>
      <c r="I211" s="474"/>
      <c r="J211" s="474"/>
      <c r="K211" s="472"/>
      <c r="L211" s="474"/>
      <c r="M211" s="474"/>
      <c r="N211" s="474"/>
    </row>
    <row r="212" spans="1:14">
      <c r="A212" s="500"/>
      <c r="B212" s="472"/>
      <c r="C212" s="473"/>
      <c r="D212" s="472"/>
      <c r="E212" s="473"/>
      <c r="F212" s="473"/>
      <c r="G212" s="473"/>
      <c r="H212" s="474"/>
      <c r="I212" s="474"/>
      <c r="J212" s="474"/>
      <c r="K212" s="472"/>
      <c r="L212" s="474"/>
      <c r="M212" s="474"/>
      <c r="N212" s="474"/>
    </row>
    <row r="213" spans="1:14">
      <c r="A213" s="500"/>
      <c r="B213" s="472"/>
      <c r="C213" s="473"/>
      <c r="D213" s="472"/>
      <c r="E213" s="473"/>
      <c r="F213" s="473"/>
      <c r="G213" s="473"/>
      <c r="H213" s="474"/>
      <c r="I213" s="474"/>
      <c r="J213" s="474"/>
      <c r="K213" s="472"/>
      <c r="L213" s="474"/>
      <c r="M213" s="474"/>
      <c r="N213" s="474"/>
    </row>
    <row r="214" spans="1:14">
      <c r="A214" s="500"/>
      <c r="B214" s="472"/>
      <c r="C214" s="473"/>
      <c r="D214" s="472"/>
      <c r="E214" s="473"/>
      <c r="F214" s="473"/>
      <c r="G214" s="473"/>
      <c r="H214" s="474"/>
      <c r="I214" s="474"/>
      <c r="J214" s="474"/>
      <c r="K214" s="472"/>
      <c r="L214" s="474"/>
      <c r="M214" s="474"/>
      <c r="N214" s="474"/>
    </row>
    <row r="215" spans="1:14">
      <c r="A215" s="500"/>
      <c r="B215" s="472"/>
      <c r="C215" s="473"/>
      <c r="D215" s="472"/>
      <c r="E215" s="473"/>
      <c r="F215" s="473"/>
      <c r="G215" s="473"/>
      <c r="H215" s="474"/>
      <c r="I215" s="474"/>
      <c r="J215" s="474"/>
      <c r="K215" s="472"/>
      <c r="L215" s="474"/>
      <c r="M215" s="474"/>
      <c r="N215" s="474"/>
    </row>
    <row r="216" spans="1:14">
      <c r="A216" s="500"/>
      <c r="B216" s="472"/>
      <c r="C216" s="473"/>
      <c r="D216" s="472"/>
      <c r="E216" s="473"/>
      <c r="F216" s="473"/>
      <c r="G216" s="473"/>
      <c r="H216" s="474"/>
      <c r="I216" s="474"/>
      <c r="J216" s="474"/>
      <c r="K216" s="472"/>
      <c r="L216" s="474"/>
      <c r="M216" s="474"/>
      <c r="N216" s="474"/>
    </row>
    <row r="217" spans="1:14">
      <c r="A217" s="500"/>
      <c r="B217" s="472"/>
      <c r="C217" s="473"/>
      <c r="D217" s="472"/>
      <c r="E217" s="473"/>
      <c r="F217" s="473"/>
      <c r="G217" s="473"/>
      <c r="H217" s="474"/>
      <c r="I217" s="474"/>
      <c r="J217" s="474"/>
      <c r="K217" s="472"/>
      <c r="L217" s="474"/>
      <c r="M217" s="474"/>
      <c r="N217" s="474"/>
    </row>
    <row r="218" spans="1:14">
      <c r="A218" s="500"/>
      <c r="B218" s="472"/>
      <c r="C218" s="473"/>
      <c r="D218" s="472"/>
      <c r="E218" s="473"/>
      <c r="F218" s="473"/>
      <c r="G218" s="473"/>
      <c r="H218" s="474"/>
      <c r="I218" s="474"/>
      <c r="J218" s="474"/>
      <c r="K218" s="472"/>
      <c r="L218" s="474"/>
      <c r="M218" s="474"/>
      <c r="N218" s="474"/>
    </row>
    <row r="219" spans="1:14">
      <c r="A219" s="500"/>
      <c r="B219" s="472"/>
      <c r="C219" s="473"/>
      <c r="D219" s="472"/>
      <c r="E219" s="473"/>
      <c r="F219" s="473"/>
      <c r="G219" s="473"/>
      <c r="H219" s="474"/>
      <c r="I219" s="474"/>
      <c r="J219" s="474"/>
      <c r="K219" s="472"/>
      <c r="L219" s="474"/>
      <c r="M219" s="474"/>
      <c r="N219" s="474"/>
    </row>
    <row r="220" spans="1:14">
      <c r="A220" s="500"/>
      <c r="B220" s="472"/>
      <c r="C220" s="473"/>
      <c r="D220" s="472"/>
      <c r="E220" s="473"/>
      <c r="F220" s="473"/>
      <c r="G220" s="473"/>
      <c r="H220" s="474"/>
      <c r="I220" s="474"/>
      <c r="J220" s="474"/>
      <c r="K220" s="472"/>
      <c r="L220" s="474"/>
      <c r="M220" s="474"/>
      <c r="N220" s="474"/>
    </row>
    <row r="221" spans="1:14">
      <c r="A221" s="500"/>
      <c r="B221" s="472"/>
      <c r="C221" s="473"/>
      <c r="D221" s="472"/>
      <c r="E221" s="473"/>
      <c r="F221" s="473"/>
      <c r="G221" s="473"/>
      <c r="H221" s="474"/>
      <c r="I221" s="474"/>
      <c r="J221" s="474"/>
      <c r="K221" s="472"/>
      <c r="L221" s="474"/>
      <c r="M221" s="474"/>
      <c r="N221" s="474"/>
    </row>
    <row r="222" spans="1:14">
      <c r="A222" s="500"/>
      <c r="B222" s="472"/>
      <c r="C222" s="473"/>
      <c r="D222" s="472"/>
      <c r="E222" s="473"/>
      <c r="F222" s="473"/>
      <c r="G222" s="473"/>
      <c r="H222" s="474"/>
      <c r="I222" s="474"/>
      <c r="J222" s="474"/>
      <c r="K222" s="472"/>
      <c r="L222" s="474"/>
      <c r="M222" s="474"/>
      <c r="N222" s="474"/>
    </row>
    <row r="223" spans="1:14">
      <c r="A223" s="500"/>
      <c r="B223" s="472"/>
      <c r="C223" s="473"/>
      <c r="D223" s="472"/>
      <c r="E223" s="473"/>
      <c r="F223" s="473"/>
      <c r="G223" s="473"/>
      <c r="H223" s="474"/>
      <c r="I223" s="474"/>
      <c r="J223" s="474"/>
      <c r="K223" s="472"/>
      <c r="L223" s="474"/>
      <c r="M223" s="474"/>
      <c r="N223" s="474"/>
    </row>
  </sheetData>
  <autoFilter ref="A9:O135"/>
  <mergeCells count="10">
    <mergeCell ref="H130:N130"/>
    <mergeCell ref="H135:N135"/>
    <mergeCell ref="A5:N5"/>
    <mergeCell ref="A7:N7"/>
    <mergeCell ref="A71:N71"/>
    <mergeCell ref="E129:N129"/>
    <mergeCell ref="A121:N121"/>
    <mergeCell ref="A6:N6"/>
    <mergeCell ref="B130:E130"/>
    <mergeCell ref="B135:F135"/>
  </mergeCells>
  <phoneticPr fontId="0" type="noConversion"/>
  <conditionalFormatting sqref="L15 L29:M29">
    <cfRule type="expression" dxfId="2" priority="1" stopIfTrue="1">
      <formula>OR($F15="A",$F15="B",$F15="C")</formula>
    </cfRule>
    <cfRule type="expression" dxfId="1" priority="2" stopIfTrue="1">
      <formula>OR($F15="-",ISBLANK($F15))</formula>
    </cfRule>
    <cfRule type="expression" dxfId="0" priority="3" stopIfTrue="1">
      <formula>OR($F15="I",$F15="II",$F15="III",$F15="IV",$F15="V",$F15="VI")</formula>
    </cfRule>
  </conditionalFormatting>
  <pageMargins left="0.87" right="0.23622047244094499" top="0.31" bottom="0.7" header="0.2" footer="0.2"/>
  <pageSetup paperSize="9" scale="95" firstPageNumber="7" orientation="portrait" useFirstPageNumber="1" r:id="rId1"/>
  <headerFooter alignWithMargins="0">
    <oddFooter>&amp;C&amp;10
&amp;P</oddFooter>
  </headerFooter>
  <rowBreaks count="2" manualBreakCount="2">
    <brk id="70" max="16383" man="1"/>
    <brk id="135" max="16383" man="1"/>
  </rowBreaks>
  <ignoredErrors>
    <ignoredError sqref="L66 L56 L70 L60 L115 L48 L75 L99:L100" formula="1"/>
    <ignoredError sqref="K51 H51:I51 M51" formulaRange="1"/>
  </ignoredErrors>
  <legacyDrawing r:id="rId2"/>
</worksheet>
</file>

<file path=xl/worksheets/sheet41.xml><?xml version="1.0" encoding="utf-8"?>
<worksheet xmlns="http://schemas.openxmlformats.org/spreadsheetml/2006/main" xmlns:r="http://schemas.openxmlformats.org/officeDocument/2006/relationships">
  <sheetPr codeName="Sheet11" enableFormatConditionsCalculation="0">
    <tabColor indexed="33"/>
  </sheetPr>
  <dimension ref="A1:N58"/>
  <sheetViews>
    <sheetView workbookViewId="0">
      <selection activeCell="G48" sqref="G48"/>
    </sheetView>
  </sheetViews>
  <sheetFormatPr defaultColWidth="8" defaultRowHeight="14.25"/>
  <cols>
    <col min="1" max="1" width="62.25" style="817" customWidth="1"/>
    <col min="2" max="2" width="1.375" style="817" hidden="1" customWidth="1"/>
    <col min="3" max="3" width="5.875" style="820" customWidth="1"/>
    <col min="4" max="4" width="0.875" style="817" customWidth="1"/>
    <col min="5" max="5" width="5.625" style="817" customWidth="1"/>
    <col min="6" max="6" width="0.25" style="817" hidden="1" customWidth="1"/>
    <col min="7" max="7" width="14.75" style="817" customWidth="1"/>
    <col min="8" max="8" width="15.125" style="817" customWidth="1"/>
    <col min="9" max="9" width="18.625" style="817" customWidth="1"/>
    <col min="10" max="13" width="8" style="817" customWidth="1"/>
    <col min="14" max="14" width="13.625" style="817" customWidth="1"/>
    <col min="15" max="16384" width="8" style="817"/>
  </cols>
  <sheetData>
    <row r="1" spans="1:14" s="788" customFormat="1" ht="16.5">
      <c r="A1" s="786" t="str">
        <f>'Ten '!A10</f>
        <v>C«ng ty Cæ phÇn §Çu t­ &amp; Th­¬ng m¹i DÇu KhÝ S«ng §µ</v>
      </c>
      <c r="B1" s="711"/>
      <c r="C1" s="787"/>
      <c r="D1" s="711"/>
      <c r="F1" s="711"/>
      <c r="G1" s="789" t="s">
        <v>654</v>
      </c>
    </row>
    <row r="2" spans="1:14" s="788" customFormat="1">
      <c r="A2" s="790" t="str">
        <f>'Ten '!A11</f>
        <v>§Þa chØ: TÇng 4, CT3, tßa nhµ Fodacon, ®­êng TrÇn Phó</v>
      </c>
      <c r="B2" s="791"/>
      <c r="C2" s="787"/>
      <c r="D2" s="791"/>
      <c r="F2" s="791"/>
      <c r="G2" s="792" t="s">
        <v>1691</v>
      </c>
    </row>
    <row r="3" spans="1:14" s="788" customFormat="1" ht="14.25" customHeight="1">
      <c r="A3" s="793">
        <f>'Ten '!A12</f>
        <v>0</v>
      </c>
      <c r="B3" s="794"/>
      <c r="C3" s="795"/>
      <c r="D3" s="794"/>
      <c r="E3" s="796"/>
      <c r="F3" s="794"/>
      <c r="G3" s="797" t="s">
        <v>1544</v>
      </c>
    </row>
    <row r="4" spans="1:14" s="788" customFormat="1" ht="1.5" customHeight="1">
      <c r="C4" s="787"/>
    </row>
    <row r="5" spans="1:14" s="710" customFormat="1" ht="16.5">
      <c r="A5" s="1647" t="s">
        <v>713</v>
      </c>
      <c r="B5" s="1647"/>
      <c r="C5" s="1647"/>
      <c r="D5" s="1647"/>
      <c r="E5" s="1647"/>
      <c r="F5" s="1647"/>
      <c r="G5" s="1647"/>
      <c r="N5" s="798"/>
    </row>
    <row r="6" spans="1:14" s="710" customFormat="1">
      <c r="A6" s="1648" t="s">
        <v>31</v>
      </c>
      <c r="B6" s="1648"/>
      <c r="C6" s="1648"/>
      <c r="D6" s="1648"/>
      <c r="E6" s="1648"/>
      <c r="F6" s="1648"/>
      <c r="G6" s="1648"/>
      <c r="N6" s="798"/>
    </row>
    <row r="7" spans="1:14" s="710" customFormat="1">
      <c r="A7" s="1648" t="s">
        <v>33</v>
      </c>
      <c r="B7" s="1648"/>
      <c r="C7" s="1648"/>
      <c r="D7" s="1648"/>
      <c r="E7" s="1648"/>
      <c r="F7" s="1648"/>
      <c r="G7" s="1648"/>
      <c r="N7" s="798"/>
    </row>
    <row r="8" spans="1:14" s="788" customFormat="1" ht="16.5" customHeight="1">
      <c r="C8" s="787"/>
      <c r="G8" s="799" t="s">
        <v>257</v>
      </c>
    </row>
    <row r="9" spans="1:14" s="802" customFormat="1" ht="39.75" customHeight="1">
      <c r="A9" s="800" t="s">
        <v>712</v>
      </c>
      <c r="B9" s="801"/>
      <c r="C9" s="800" t="s">
        <v>259</v>
      </c>
      <c r="D9" s="801"/>
      <c r="E9" s="800" t="s">
        <v>260</v>
      </c>
      <c r="F9" s="801"/>
      <c r="G9" s="800" t="s">
        <v>1505</v>
      </c>
    </row>
    <row r="10" spans="1:14" s="788" customFormat="1">
      <c r="A10" s="803" t="s">
        <v>372</v>
      </c>
      <c r="B10" s="193"/>
      <c r="C10" s="803" t="s">
        <v>373</v>
      </c>
      <c r="D10" s="193"/>
      <c r="E10" s="803" t="s">
        <v>374</v>
      </c>
      <c r="F10" s="193"/>
      <c r="G10" s="803" t="s">
        <v>375</v>
      </c>
    </row>
    <row r="11" spans="1:14" s="788" customFormat="1" ht="14.25" customHeight="1">
      <c r="A11" s="804" t="s">
        <v>714</v>
      </c>
      <c r="B11" s="804"/>
      <c r="C11" s="805"/>
      <c r="D11" s="804"/>
      <c r="E11" s="806"/>
      <c r="F11" s="804"/>
      <c r="G11" s="806"/>
    </row>
    <row r="12" spans="1:14" s="810" customFormat="1" ht="14.25" customHeight="1">
      <c r="A12" s="807" t="s">
        <v>376</v>
      </c>
      <c r="B12" s="807"/>
      <c r="C12" s="808" t="s">
        <v>703</v>
      </c>
      <c r="D12" s="807"/>
      <c r="E12" s="809"/>
      <c r="F12" s="807"/>
      <c r="G12" s="809" t="e">
        <f>#REF!</f>
        <v>#REF!</v>
      </c>
    </row>
    <row r="13" spans="1:14" s="810" customFormat="1" ht="14.25" customHeight="1">
      <c r="A13" s="807" t="s">
        <v>377</v>
      </c>
      <c r="B13" s="807"/>
      <c r="C13" s="811"/>
      <c r="D13" s="807"/>
      <c r="E13" s="809"/>
      <c r="F13" s="807"/>
      <c r="G13" s="809"/>
    </row>
    <row r="14" spans="1:14" s="788" customFormat="1" ht="14.25" customHeight="1">
      <c r="A14" s="812" t="s">
        <v>378</v>
      </c>
      <c r="B14" s="812"/>
      <c r="C14" s="813" t="s">
        <v>656</v>
      </c>
      <c r="D14" s="812"/>
      <c r="E14" s="806"/>
      <c r="F14" s="812"/>
      <c r="G14" s="806"/>
    </row>
    <row r="15" spans="1:14" s="788" customFormat="1" ht="14.25" hidden="1" customHeight="1">
      <c r="A15" s="812" t="s">
        <v>380</v>
      </c>
      <c r="B15" s="812"/>
      <c r="C15" s="813" t="s">
        <v>657</v>
      </c>
      <c r="D15" s="812"/>
      <c r="E15" s="806"/>
      <c r="F15" s="812"/>
      <c r="G15" s="951"/>
    </row>
    <row r="16" spans="1:14" s="788" customFormat="1" ht="14.25" hidden="1" customHeight="1">
      <c r="A16" s="812" t="s">
        <v>381</v>
      </c>
      <c r="B16" s="812"/>
      <c r="C16" s="813" t="s">
        <v>1318</v>
      </c>
      <c r="D16" s="812"/>
      <c r="E16" s="806"/>
      <c r="F16" s="812"/>
      <c r="G16" s="952"/>
    </row>
    <row r="17" spans="1:9" s="788" customFormat="1" ht="14.25" customHeight="1">
      <c r="A17" s="812" t="s">
        <v>382</v>
      </c>
      <c r="B17" s="812"/>
      <c r="C17" s="813" t="s">
        <v>1319</v>
      </c>
      <c r="D17" s="812"/>
      <c r="E17" s="806"/>
      <c r="F17" s="812"/>
      <c r="G17" s="600"/>
    </row>
    <row r="18" spans="1:9" s="788" customFormat="1" ht="14.25" customHeight="1">
      <c r="A18" s="812" t="s">
        <v>383</v>
      </c>
      <c r="B18" s="812"/>
      <c r="C18" s="813" t="s">
        <v>1320</v>
      </c>
      <c r="D18" s="812"/>
      <c r="E18" s="806"/>
      <c r="F18" s="812"/>
      <c r="G18" s="953"/>
    </row>
    <row r="19" spans="1:9" s="958" customFormat="1" ht="14.25" customHeight="1">
      <c r="A19" s="954" t="s">
        <v>384</v>
      </c>
      <c r="B19" s="954"/>
      <c r="C19" s="955" t="s">
        <v>385</v>
      </c>
      <c r="D19" s="954"/>
      <c r="E19" s="956"/>
      <c r="F19" s="954"/>
      <c r="G19" s="957" t="e">
        <f>SUM(G12:G18)</f>
        <v>#REF!</v>
      </c>
    </row>
    <row r="20" spans="1:9" s="963" customFormat="1" ht="14.25" customHeight="1">
      <c r="A20" s="959" t="s">
        <v>386</v>
      </c>
      <c r="B20" s="959"/>
      <c r="C20" s="960" t="s">
        <v>387</v>
      </c>
      <c r="D20" s="959"/>
      <c r="E20" s="961"/>
      <c r="F20" s="959"/>
      <c r="G20" s="962"/>
    </row>
    <row r="21" spans="1:9" s="967" customFormat="1" ht="14.25" customHeight="1">
      <c r="A21" s="959" t="s">
        <v>388</v>
      </c>
      <c r="B21" s="959"/>
      <c r="C21" s="964">
        <v>10</v>
      </c>
      <c r="D21" s="959"/>
      <c r="E21" s="965"/>
      <c r="F21" s="959"/>
      <c r="G21" s="966"/>
    </row>
    <row r="22" spans="1:9" s="963" customFormat="1" ht="14.25" customHeight="1">
      <c r="A22" s="959" t="s">
        <v>389</v>
      </c>
      <c r="B22" s="959"/>
      <c r="C22" s="964">
        <v>11</v>
      </c>
      <c r="D22" s="959"/>
      <c r="E22" s="961"/>
      <c r="F22" s="959"/>
      <c r="G22" s="962"/>
    </row>
    <row r="23" spans="1:9" s="963" customFormat="1" ht="14.25" customHeight="1">
      <c r="A23" s="959" t="s">
        <v>390</v>
      </c>
      <c r="B23" s="959"/>
      <c r="C23" s="968">
        <v>12</v>
      </c>
      <c r="D23" s="959"/>
      <c r="E23" s="961"/>
      <c r="F23" s="959"/>
      <c r="G23" s="962"/>
    </row>
    <row r="24" spans="1:9" s="963" customFormat="1" ht="14.25" customHeight="1">
      <c r="A24" s="959" t="s">
        <v>391</v>
      </c>
      <c r="B24" s="959"/>
      <c r="C24" s="968">
        <v>13</v>
      </c>
      <c r="D24" s="959"/>
      <c r="E24" s="961"/>
      <c r="F24" s="959"/>
      <c r="G24" s="962"/>
    </row>
    <row r="25" spans="1:9" s="963" customFormat="1" ht="14.25" customHeight="1">
      <c r="A25" s="959" t="s">
        <v>392</v>
      </c>
      <c r="B25" s="959"/>
      <c r="C25" s="968">
        <v>14</v>
      </c>
      <c r="D25" s="959"/>
      <c r="E25" s="961"/>
      <c r="F25" s="959"/>
      <c r="G25" s="962"/>
    </row>
    <row r="26" spans="1:9" s="963" customFormat="1" ht="14.25" customHeight="1">
      <c r="A26" s="959" t="s">
        <v>633</v>
      </c>
      <c r="B26" s="959"/>
      <c r="C26" s="968">
        <v>15</v>
      </c>
      <c r="D26" s="959"/>
      <c r="E26" s="961"/>
      <c r="F26" s="959"/>
      <c r="G26" s="962"/>
      <c r="I26" s="963">
        <v>1717363675</v>
      </c>
    </row>
    <row r="27" spans="1:9" s="963" customFormat="1" ht="14.25" customHeight="1">
      <c r="A27" s="959" t="s">
        <v>634</v>
      </c>
      <c r="B27" s="959"/>
      <c r="C27" s="968">
        <v>16</v>
      </c>
      <c r="D27" s="959"/>
      <c r="E27" s="961"/>
      <c r="F27" s="959"/>
      <c r="G27" s="962"/>
      <c r="I27" s="963">
        <v>-869767802</v>
      </c>
    </row>
    <row r="28" spans="1:9" s="958" customFormat="1" ht="14.25" customHeight="1">
      <c r="A28" s="954" t="s">
        <v>720</v>
      </c>
      <c r="B28" s="954"/>
      <c r="C28" s="969">
        <v>20</v>
      </c>
      <c r="D28" s="954"/>
      <c r="E28" s="956"/>
      <c r="F28" s="954"/>
      <c r="G28" s="970" t="e">
        <f>SUM(G19:G27)</f>
        <v>#REF!</v>
      </c>
    </row>
    <row r="29" spans="1:9" s="963" customFormat="1" ht="14.25" customHeight="1">
      <c r="A29" s="971" t="s">
        <v>726</v>
      </c>
      <c r="B29" s="971"/>
      <c r="C29" s="968"/>
      <c r="D29" s="971"/>
      <c r="E29" s="961"/>
      <c r="F29" s="971"/>
      <c r="G29" s="961"/>
    </row>
    <row r="30" spans="1:9" s="963" customFormat="1" ht="14.25" customHeight="1">
      <c r="A30" s="972" t="s">
        <v>728</v>
      </c>
      <c r="B30" s="972"/>
      <c r="C30" s="968">
        <v>21</v>
      </c>
      <c r="D30" s="972"/>
      <c r="E30" s="965"/>
      <c r="F30" s="972"/>
      <c r="G30" s="966"/>
    </row>
    <row r="31" spans="1:9" s="963" customFormat="1" ht="14.25" customHeight="1">
      <c r="A31" s="972" t="s">
        <v>727</v>
      </c>
      <c r="B31" s="972"/>
      <c r="C31" s="968">
        <v>22</v>
      </c>
      <c r="D31" s="972"/>
      <c r="E31" s="968"/>
      <c r="F31" s="972"/>
      <c r="G31" s="973"/>
    </row>
    <row r="32" spans="1:9" s="963" customFormat="1" ht="14.25" customHeight="1">
      <c r="A32" s="972" t="s">
        <v>729</v>
      </c>
      <c r="B32" s="972"/>
      <c r="C32" s="968">
        <v>23</v>
      </c>
      <c r="D32" s="972"/>
      <c r="E32" s="968"/>
      <c r="F32" s="972"/>
      <c r="G32" s="973"/>
    </row>
    <row r="33" spans="1:9" s="963" customFormat="1" ht="14.25" customHeight="1">
      <c r="A33" s="972" t="s">
        <v>730</v>
      </c>
      <c r="B33" s="972"/>
      <c r="C33" s="968">
        <v>24</v>
      </c>
      <c r="D33" s="972"/>
      <c r="E33" s="968"/>
      <c r="F33" s="972"/>
      <c r="G33" s="973"/>
    </row>
    <row r="34" spans="1:9" s="963" customFormat="1" ht="14.25" customHeight="1">
      <c r="A34" s="972" t="s">
        <v>731</v>
      </c>
      <c r="B34" s="972"/>
      <c r="C34" s="968">
        <v>25</v>
      </c>
      <c r="D34" s="972"/>
      <c r="E34" s="968"/>
      <c r="F34" s="972"/>
      <c r="G34" s="966"/>
    </row>
    <row r="35" spans="1:9" s="963" customFormat="1" ht="14.25" customHeight="1">
      <c r="A35" s="972" t="s">
        <v>732</v>
      </c>
      <c r="B35" s="972"/>
      <c r="C35" s="968">
        <v>26</v>
      </c>
      <c r="D35" s="972"/>
      <c r="E35" s="968"/>
      <c r="F35" s="972"/>
      <c r="G35" s="966"/>
    </row>
    <row r="36" spans="1:9" s="958" customFormat="1" ht="14.25" customHeight="1">
      <c r="A36" s="972" t="s">
        <v>733</v>
      </c>
      <c r="B36" s="972"/>
      <c r="C36" s="968">
        <v>27</v>
      </c>
      <c r="D36" s="972"/>
      <c r="E36" s="974"/>
      <c r="F36" s="972"/>
      <c r="G36" s="966"/>
    </row>
    <row r="37" spans="1:9" s="958" customFormat="1" ht="14.25" customHeight="1">
      <c r="A37" s="954" t="s">
        <v>709</v>
      </c>
      <c r="B37" s="954"/>
      <c r="C37" s="975">
        <v>30</v>
      </c>
      <c r="D37" s="954"/>
      <c r="E37" s="974"/>
      <c r="F37" s="954"/>
      <c r="G37" s="976">
        <f>SUM(G30:G36)</f>
        <v>0</v>
      </c>
    </row>
    <row r="38" spans="1:9" s="978" customFormat="1" ht="14.25" customHeight="1">
      <c r="A38" s="971" t="s">
        <v>734</v>
      </c>
      <c r="B38" s="971"/>
      <c r="C38" s="969"/>
      <c r="D38" s="971"/>
      <c r="E38" s="968"/>
      <c r="F38" s="971"/>
      <c r="G38" s="977"/>
    </row>
    <row r="39" spans="1:9" s="963" customFormat="1" ht="14.25" customHeight="1">
      <c r="A39" s="972" t="s">
        <v>735</v>
      </c>
      <c r="B39" s="972"/>
      <c r="C39" s="968">
        <v>31</v>
      </c>
      <c r="D39" s="972"/>
      <c r="E39" s="968"/>
      <c r="F39" s="972"/>
      <c r="G39" s="961"/>
    </row>
    <row r="40" spans="1:9" s="978" customFormat="1" ht="14.25" customHeight="1">
      <c r="A40" s="972" t="s">
        <v>635</v>
      </c>
      <c r="B40" s="972"/>
      <c r="C40" s="968">
        <v>32</v>
      </c>
      <c r="D40" s="972"/>
      <c r="E40" s="968"/>
      <c r="F40" s="972"/>
      <c r="G40" s="977"/>
    </row>
    <row r="41" spans="1:9" s="963" customFormat="1" ht="14.25" customHeight="1">
      <c r="A41" s="972" t="s">
        <v>736</v>
      </c>
      <c r="B41" s="972"/>
      <c r="C41" s="979">
        <v>33</v>
      </c>
      <c r="D41" s="972"/>
      <c r="E41" s="980"/>
      <c r="F41" s="972"/>
      <c r="G41" s="961"/>
      <c r="I41" s="963">
        <v>293013000</v>
      </c>
    </row>
    <row r="42" spans="1:9" s="978" customFormat="1" ht="14.25" customHeight="1">
      <c r="A42" s="972" t="s">
        <v>737</v>
      </c>
      <c r="B42" s="972"/>
      <c r="C42" s="980">
        <v>34</v>
      </c>
      <c r="D42" s="972"/>
      <c r="E42" s="980"/>
      <c r="F42" s="972"/>
      <c r="G42" s="966"/>
    </row>
    <row r="43" spans="1:9" s="963" customFormat="1" ht="14.25" customHeight="1">
      <c r="A43" s="972" t="s">
        <v>738</v>
      </c>
      <c r="B43" s="972"/>
      <c r="C43" s="979">
        <v>35</v>
      </c>
      <c r="D43" s="972"/>
      <c r="E43" s="981"/>
      <c r="F43" s="972"/>
      <c r="G43" s="982"/>
    </row>
    <row r="44" spans="1:9" s="963" customFormat="1" ht="14.25" customHeight="1">
      <c r="A44" s="972" t="s">
        <v>739</v>
      </c>
      <c r="B44" s="972"/>
      <c r="C44" s="979">
        <v>36</v>
      </c>
      <c r="D44" s="972"/>
      <c r="E44" s="968"/>
      <c r="F44" s="972"/>
      <c r="G44" s="966"/>
    </row>
    <row r="45" spans="1:9" s="963" customFormat="1" ht="14.25" customHeight="1">
      <c r="A45" s="954" t="s">
        <v>710</v>
      </c>
      <c r="B45" s="954"/>
      <c r="C45" s="981">
        <v>40</v>
      </c>
      <c r="D45" s="954"/>
      <c r="E45" s="968"/>
      <c r="F45" s="954"/>
      <c r="G45" s="983">
        <f>SUM(G39:G44)</f>
        <v>0</v>
      </c>
    </row>
    <row r="46" spans="1:9" s="963" customFormat="1" ht="14.25" customHeight="1">
      <c r="A46" s="971" t="s">
        <v>711</v>
      </c>
      <c r="B46" s="971"/>
      <c r="C46" s="981">
        <v>50</v>
      </c>
      <c r="D46" s="971"/>
      <c r="E46" s="968"/>
      <c r="F46" s="971"/>
      <c r="G46" s="984" t="e">
        <f>G28+G37+G45</f>
        <v>#REF!</v>
      </c>
    </row>
    <row r="47" spans="1:9" s="963" customFormat="1" ht="14.25" customHeight="1">
      <c r="A47" s="971" t="s">
        <v>740</v>
      </c>
      <c r="B47" s="971"/>
      <c r="C47" s="981">
        <v>60</v>
      </c>
      <c r="D47" s="971"/>
      <c r="E47" s="968"/>
      <c r="F47" s="971"/>
      <c r="G47" s="977">
        <v>4884681339</v>
      </c>
    </row>
    <row r="48" spans="1:9" s="963" customFormat="1" ht="14.25" customHeight="1">
      <c r="A48" s="972" t="s">
        <v>741</v>
      </c>
      <c r="B48" s="972"/>
      <c r="C48" s="979">
        <v>61</v>
      </c>
      <c r="D48" s="972"/>
      <c r="E48" s="968"/>
      <c r="F48" s="972"/>
      <c r="G48" s="985"/>
    </row>
    <row r="49" spans="1:8" s="978" customFormat="1" ht="14.25" customHeight="1">
      <c r="A49" s="971" t="s">
        <v>1317</v>
      </c>
      <c r="B49" s="971"/>
      <c r="C49" s="981">
        <v>70</v>
      </c>
      <c r="D49" s="971"/>
      <c r="E49" s="968"/>
      <c r="F49" s="971"/>
      <c r="G49" s="981" t="e">
        <f>G46+G47+G48</f>
        <v>#REF!</v>
      </c>
      <c r="H49" s="963" t="e">
        <f>G49-BS!L14</f>
        <v>#REF!</v>
      </c>
    </row>
    <row r="50" spans="1:8" ht="6" customHeight="1">
      <c r="A50" s="815"/>
      <c r="B50" s="815"/>
      <c r="C50" s="816"/>
      <c r="D50" s="815"/>
      <c r="E50" s="815"/>
      <c r="F50" s="815"/>
      <c r="G50" s="815"/>
    </row>
    <row r="51" spans="1:8" ht="14.25" customHeight="1">
      <c r="A51" s="814"/>
      <c r="B51" s="814"/>
      <c r="C51" s="1646" t="s">
        <v>521</v>
      </c>
      <c r="D51" s="1646"/>
      <c r="E51" s="1646"/>
      <c r="F51" s="1646"/>
      <c r="G51" s="1646"/>
    </row>
    <row r="52" spans="1:8" ht="17.25" customHeight="1">
      <c r="A52" s="818" t="s">
        <v>24</v>
      </c>
      <c r="B52" s="819"/>
      <c r="C52" s="1645" t="s">
        <v>338</v>
      </c>
      <c r="D52" s="1645"/>
      <c r="E52" s="1645"/>
      <c r="F52" s="1645"/>
      <c r="G52" s="1645"/>
    </row>
    <row r="53" spans="1:8">
      <c r="A53" s="787"/>
      <c r="B53" s="788"/>
      <c r="C53" s="787"/>
      <c r="D53" s="788"/>
      <c r="E53" s="787"/>
      <c r="F53" s="788"/>
      <c r="G53" s="788"/>
    </row>
    <row r="54" spans="1:8">
      <c r="A54" s="787"/>
      <c r="B54" s="788"/>
      <c r="C54" s="787"/>
      <c r="D54" s="788"/>
      <c r="E54" s="787"/>
      <c r="F54" s="788"/>
      <c r="G54" s="788"/>
    </row>
    <row r="55" spans="1:8">
      <c r="A55" s="787"/>
      <c r="B55" s="788"/>
      <c r="C55" s="787"/>
      <c r="D55" s="788"/>
      <c r="E55" s="787"/>
      <c r="F55" s="788"/>
      <c r="G55" s="788"/>
    </row>
    <row r="56" spans="1:8">
      <c r="A56" s="787"/>
      <c r="B56" s="788"/>
      <c r="C56" s="787"/>
      <c r="D56" s="788"/>
      <c r="E56" s="787"/>
      <c r="F56" s="788"/>
      <c r="G56" s="788"/>
    </row>
    <row r="57" spans="1:8">
      <c r="A57" s="787"/>
      <c r="B57" s="788"/>
      <c r="C57" s="787"/>
      <c r="D57" s="788"/>
      <c r="E57" s="787"/>
      <c r="F57" s="788"/>
      <c r="G57" s="788"/>
    </row>
    <row r="58" spans="1:8" ht="15">
      <c r="A58" s="818" t="str">
        <f>'Ten '!A15</f>
        <v>Ph¹m Tr­êng Tam</v>
      </c>
      <c r="B58" s="819"/>
      <c r="C58" s="1645" t="str">
        <f>'Ten '!B15</f>
        <v>Hoµng V¨n To¶n</v>
      </c>
      <c r="D58" s="1645"/>
      <c r="E58" s="1645"/>
      <c r="F58" s="1645"/>
      <c r="G58" s="1645"/>
    </row>
  </sheetData>
  <mergeCells count="6">
    <mergeCell ref="C58:G58"/>
    <mergeCell ref="C51:G51"/>
    <mergeCell ref="C52:G52"/>
    <mergeCell ref="A5:G5"/>
    <mergeCell ref="A6:G6"/>
    <mergeCell ref="A7:G7"/>
  </mergeCells>
  <phoneticPr fontId="0" type="noConversion"/>
  <pageMargins left="0.51" right="0.13" top="0.3" bottom="0.61" header="0.34" footer="0.15"/>
  <pageSetup paperSize="9" firstPageNumber="10" orientation="portrait" useFirstPageNumber="1" r:id="rId1"/>
  <headerFooter alignWithMargins="0">
    <oddFooter>&amp;CC¸c thuyÕt minh tõ trang 11 ®Õn trang 27 lµ bé phËn hîp th¸nh cña B¸o c¸o tµi chÝnh
&amp;P</oddFooter>
  </headerFooter>
</worksheet>
</file>

<file path=xl/worksheets/sheet42.xml><?xml version="1.0" encoding="utf-8"?>
<worksheet xmlns="http://schemas.openxmlformats.org/spreadsheetml/2006/main" xmlns:r="http://schemas.openxmlformats.org/officeDocument/2006/relationships">
  <sheetPr codeName="Sheet12" enableFormatConditionsCalculation="0">
    <tabColor indexed="33"/>
  </sheetPr>
  <dimension ref="A1:Z61"/>
  <sheetViews>
    <sheetView workbookViewId="0">
      <pane xSplit="8" ySplit="11" topLeftCell="I36" activePane="bottomRight" state="frozen"/>
      <selection activeCell="H59" sqref="H59"/>
      <selection pane="topRight" activeCell="H59" sqref="H59"/>
      <selection pane="bottomLeft" activeCell="H59" sqref="H59"/>
      <selection pane="bottomRight" activeCell="I34" sqref="I34"/>
    </sheetView>
  </sheetViews>
  <sheetFormatPr defaultRowHeight="14.25"/>
  <cols>
    <col min="1" max="1" width="3.625" style="71" customWidth="1"/>
    <col min="2" max="2" width="38.375" style="71" customWidth="1"/>
    <col min="3" max="3" width="0.625" style="71" customWidth="1"/>
    <col min="4" max="4" width="5.75" style="71" customWidth="1"/>
    <col min="5" max="5" width="0.75" style="71" customWidth="1"/>
    <col min="6" max="6" width="6.875" style="64" customWidth="1"/>
    <col min="7" max="7" width="0.75" style="64" customWidth="1"/>
    <col min="8" max="8" width="2" style="64" hidden="1" customWidth="1"/>
    <col min="9" max="9" width="15.75" style="91" customWidth="1"/>
    <col min="10" max="10" width="1.375" style="91" customWidth="1"/>
    <col min="11" max="11" width="15.875" style="64" customWidth="1"/>
    <col min="12" max="12" width="1.125" style="71" customWidth="1"/>
    <col min="13" max="13" width="16.625" style="64" customWidth="1"/>
    <col min="14" max="14" width="0.125" style="71" customWidth="1"/>
    <col min="15" max="15" width="16.625" style="64" customWidth="1"/>
    <col min="16" max="16" width="0.75" style="65" customWidth="1"/>
    <col min="17" max="17" width="17.625" style="306" customWidth="1"/>
    <col min="18" max="18" width="17.625" style="308" customWidth="1"/>
    <col min="19" max="20" width="17.625" style="314" customWidth="1"/>
    <col min="21" max="21" width="17.625" style="320" customWidth="1"/>
    <col min="22" max="22" width="17.625" style="326" customWidth="1"/>
    <col min="23" max="23" width="17.625" style="308" customWidth="1"/>
    <col min="24" max="25" width="17.625" style="332" customWidth="1"/>
    <col min="26" max="26" width="17.625" style="338" customWidth="1"/>
    <col min="27" max="27" width="15.75" style="65" bestFit="1" customWidth="1"/>
    <col min="28" max="28" width="13.75" style="65" bestFit="1" customWidth="1"/>
    <col min="29" max="16384" width="9" style="65"/>
  </cols>
  <sheetData>
    <row r="1" spans="1:26" ht="15">
      <c r="A1" s="1290" t="str">
        <f>'Ten '!A10</f>
        <v>C«ng ty Cæ phÇn §Çu t­ &amp; Th­¬ng m¹i DÇu KhÝ S«ng §µ</v>
      </c>
      <c r="B1" s="1124"/>
    </row>
    <row r="2" spans="1:26" s="1110" customFormat="1" ht="15.75">
      <c r="A2" s="1170" t="str">
        <f>'Ten '!A11</f>
        <v>§Þa chØ: TÇng 4, CT3, tßa nhµ Fodacon, ®­êng TrÇn Phó</v>
      </c>
      <c r="B2" s="1125"/>
      <c r="C2" s="1107"/>
      <c r="D2" s="97"/>
      <c r="E2" s="1107"/>
      <c r="F2" s="98"/>
      <c r="G2" s="98"/>
      <c r="H2" s="98"/>
      <c r="I2" s="99"/>
      <c r="J2" s="99"/>
      <c r="K2" s="98"/>
      <c r="L2" s="1107"/>
      <c r="M2" s="1108"/>
      <c r="N2" s="1109"/>
      <c r="O2" s="1550" t="s">
        <v>654</v>
      </c>
      <c r="Q2" s="293"/>
      <c r="R2" s="1111"/>
      <c r="S2" s="1112"/>
      <c r="T2" s="1112"/>
      <c r="U2" s="1113"/>
      <c r="V2" s="1114"/>
      <c r="W2" s="1111"/>
      <c r="X2" s="1115"/>
      <c r="Y2" s="1115"/>
      <c r="Z2" s="1116"/>
    </row>
    <row r="3" spans="1:26" s="103" customFormat="1" ht="15">
      <c r="A3" s="1170" t="s">
        <v>887</v>
      </c>
      <c r="B3" s="1126"/>
      <c r="C3" s="100"/>
      <c r="D3" s="97"/>
      <c r="E3" s="100"/>
      <c r="F3" s="101"/>
      <c r="G3" s="101"/>
      <c r="H3" s="101"/>
      <c r="I3" s="102"/>
      <c r="J3" s="102"/>
      <c r="K3" s="101"/>
      <c r="L3" s="100"/>
      <c r="M3" s="255"/>
      <c r="O3" s="1551" t="s">
        <v>407</v>
      </c>
      <c r="Q3" s="294"/>
      <c r="R3" s="307"/>
      <c r="S3" s="313"/>
      <c r="T3" s="313"/>
      <c r="U3" s="319"/>
      <c r="V3" s="325"/>
      <c r="W3" s="307"/>
      <c r="X3" s="331"/>
      <c r="Y3" s="331"/>
      <c r="Z3" s="337"/>
    </row>
    <row r="4" spans="1:26" s="103" customFormat="1" ht="15">
      <c r="A4" s="1127"/>
      <c r="B4" s="1127"/>
      <c r="C4" s="104"/>
      <c r="D4" s="105"/>
      <c r="E4" s="104"/>
      <c r="F4" s="106"/>
      <c r="G4" s="106"/>
      <c r="H4" s="106"/>
      <c r="I4" s="107"/>
      <c r="J4" s="107"/>
      <c r="K4" s="108"/>
      <c r="L4" s="104"/>
      <c r="M4" s="106"/>
      <c r="N4" s="109"/>
      <c r="O4" s="1117"/>
      <c r="Q4" s="295"/>
      <c r="R4" s="307"/>
      <c r="S4" s="313"/>
      <c r="T4" s="313"/>
      <c r="U4" s="319"/>
      <c r="V4" s="325"/>
      <c r="W4" s="307"/>
      <c r="X4" s="331"/>
      <c r="Y4" s="331"/>
      <c r="Z4" s="337"/>
    </row>
    <row r="5" spans="1:26" ht="5.25" customHeight="1">
      <c r="A5" s="64"/>
      <c r="B5" s="64"/>
      <c r="C5" s="64"/>
      <c r="D5" s="64"/>
      <c r="E5" s="64"/>
      <c r="H5" s="69"/>
      <c r="I5" s="70"/>
      <c r="J5" s="70"/>
      <c r="K5" s="71"/>
      <c r="L5" s="64"/>
      <c r="N5" s="64"/>
      <c r="Q5" s="296"/>
    </row>
    <row r="6" spans="1:26" ht="28.5" customHeight="1">
      <c r="A6" s="1651" t="s">
        <v>453</v>
      </c>
      <c r="B6" s="1652"/>
      <c r="C6" s="1651"/>
      <c r="D6" s="1651"/>
      <c r="E6" s="1651"/>
      <c r="F6" s="1651"/>
      <c r="G6" s="1651"/>
      <c r="H6" s="1651"/>
      <c r="I6" s="1651"/>
      <c r="J6" s="1651"/>
      <c r="K6" s="1651"/>
      <c r="L6" s="1651"/>
      <c r="M6" s="1651"/>
      <c r="N6" s="1651"/>
      <c r="O6" s="1651"/>
      <c r="Q6" s="297"/>
    </row>
    <row r="7" spans="1:26" ht="19.5" customHeight="1">
      <c r="A7" s="1650" t="s">
        <v>1553</v>
      </c>
      <c r="B7" s="1650"/>
      <c r="C7" s="1650"/>
      <c r="D7" s="1650"/>
      <c r="E7" s="1650"/>
      <c r="F7" s="1650"/>
      <c r="G7" s="1650"/>
      <c r="H7" s="1650"/>
      <c r="I7" s="1650"/>
      <c r="J7" s="1650"/>
      <c r="K7" s="1650"/>
      <c r="L7" s="1650"/>
      <c r="M7" s="1650"/>
      <c r="N7" s="1650"/>
      <c r="O7" s="1650"/>
      <c r="Q7" s="297"/>
    </row>
    <row r="8" spans="1:26" ht="15" customHeight="1">
      <c r="A8" s="72"/>
      <c r="B8" s="72"/>
      <c r="C8" s="72"/>
      <c r="D8" s="72"/>
      <c r="E8" s="72"/>
      <c r="F8" s="73"/>
      <c r="G8" s="73"/>
      <c r="H8" s="73"/>
      <c r="I8" s="74"/>
      <c r="J8" s="74"/>
      <c r="K8" s="73"/>
      <c r="L8" s="72"/>
      <c r="N8" s="72"/>
      <c r="O8" s="75" t="s">
        <v>971</v>
      </c>
      <c r="Q8" s="298"/>
    </row>
    <row r="9" spans="1:26" s="78" customFormat="1" ht="21.75" customHeight="1">
      <c r="A9" s="1655"/>
      <c r="B9" s="1655" t="s">
        <v>655</v>
      </c>
      <c r="C9" s="116"/>
      <c r="D9" s="1655" t="s">
        <v>259</v>
      </c>
      <c r="E9" s="116"/>
      <c r="F9" s="1657" t="s">
        <v>260</v>
      </c>
      <c r="G9" s="145"/>
      <c r="H9" s="1655" t="s">
        <v>1270</v>
      </c>
      <c r="I9" s="1653" t="s">
        <v>454</v>
      </c>
      <c r="J9" s="1653"/>
      <c r="K9" s="1653"/>
      <c r="L9" s="116"/>
      <c r="M9" s="1654" t="s">
        <v>455</v>
      </c>
      <c r="N9" s="1654"/>
      <c r="O9" s="1654"/>
      <c r="Q9" s="299"/>
      <c r="R9" s="343"/>
      <c r="S9" s="344"/>
      <c r="T9" s="344"/>
      <c r="U9" s="345"/>
      <c r="V9" s="346"/>
      <c r="W9" s="343"/>
      <c r="X9" s="347"/>
      <c r="Y9" s="347"/>
      <c r="Z9" s="348"/>
    </row>
    <row r="10" spans="1:26" s="78" customFormat="1" ht="21.75" customHeight="1">
      <c r="A10" s="1656"/>
      <c r="B10" s="1656"/>
      <c r="C10" s="116"/>
      <c r="D10" s="1656"/>
      <c r="E10" s="116"/>
      <c r="F10" s="1658"/>
      <c r="G10" s="145"/>
      <c r="H10" s="1656"/>
      <c r="I10" s="117" t="s">
        <v>1505</v>
      </c>
      <c r="J10" s="116"/>
      <c r="K10" s="117" t="s">
        <v>697</v>
      </c>
      <c r="L10" s="116"/>
      <c r="M10" s="117" t="s">
        <v>1505</v>
      </c>
      <c r="N10" s="116"/>
      <c r="O10" s="117" t="s">
        <v>697</v>
      </c>
      <c r="Q10" s="299"/>
      <c r="R10" s="343"/>
      <c r="S10" s="344"/>
      <c r="T10" s="344"/>
      <c r="U10" s="345"/>
      <c r="V10" s="346"/>
      <c r="W10" s="343"/>
      <c r="X10" s="347"/>
      <c r="Y10" s="347"/>
      <c r="Z10" s="348"/>
    </row>
    <row r="11" spans="1:26" s="79" customFormat="1" ht="16.5" customHeight="1">
      <c r="A11" s="76"/>
      <c r="B11" s="94">
        <v>1</v>
      </c>
      <c r="C11" s="77"/>
      <c r="D11" s="96">
        <v>2</v>
      </c>
      <c r="E11" s="95"/>
      <c r="F11" s="96">
        <v>3</v>
      </c>
      <c r="G11" s="146"/>
      <c r="H11" s="96">
        <v>3</v>
      </c>
      <c r="I11" s="96">
        <v>3</v>
      </c>
      <c r="J11" s="96"/>
      <c r="K11" s="96">
        <v>4</v>
      </c>
      <c r="L11" s="95"/>
      <c r="M11" s="96">
        <v>5</v>
      </c>
      <c r="N11" s="95"/>
      <c r="O11" s="96">
        <v>6</v>
      </c>
      <c r="Q11" s="300"/>
      <c r="R11" s="309"/>
      <c r="S11" s="315"/>
      <c r="T11" s="315"/>
      <c r="U11" s="321"/>
      <c r="V11" s="327"/>
      <c r="W11" s="309"/>
      <c r="X11" s="333"/>
      <c r="Y11" s="333"/>
      <c r="Z11" s="339"/>
    </row>
    <row r="12" spans="1:26" s="68" customFormat="1" ht="21" customHeight="1">
      <c r="A12" s="1224" t="s">
        <v>662</v>
      </c>
      <c r="B12" s="1225" t="s">
        <v>698</v>
      </c>
      <c r="C12" s="1226"/>
      <c r="D12" s="1227" t="s">
        <v>703</v>
      </c>
      <c r="E12" s="1228"/>
      <c r="F12" s="1229" t="s">
        <v>1183</v>
      </c>
      <c r="G12" s="1230"/>
      <c r="H12" s="1230">
        <v>511</v>
      </c>
      <c r="I12" s="1248">
        <v>141554645823</v>
      </c>
      <c r="J12" s="1231"/>
      <c r="K12" s="1248">
        <v>178491926970</v>
      </c>
      <c r="L12" s="1226"/>
      <c r="M12" s="1232">
        <v>233903078789</v>
      </c>
      <c r="N12" s="1226"/>
      <c r="O12" s="1232">
        <v>336203489872</v>
      </c>
      <c r="Q12" s="1200"/>
      <c r="R12" s="1201"/>
      <c r="S12" s="1202"/>
      <c r="T12" s="1202"/>
      <c r="U12" s="1203"/>
      <c r="V12" s="1204"/>
      <c r="W12" s="312"/>
      <c r="X12" s="335"/>
      <c r="Y12" s="335"/>
      <c r="Z12" s="341"/>
    </row>
    <row r="13" spans="1:26" s="68" customFormat="1" ht="16.5" customHeight="1">
      <c r="A13" s="1224" t="s">
        <v>664</v>
      </c>
      <c r="B13" s="1225" t="s">
        <v>6</v>
      </c>
      <c r="C13" s="1226"/>
      <c r="D13" s="1227" t="s">
        <v>657</v>
      </c>
      <c r="E13" s="1228"/>
      <c r="F13" s="1229" t="s">
        <v>1184</v>
      </c>
      <c r="G13" s="1230"/>
      <c r="H13" s="1230"/>
      <c r="I13" s="1231">
        <v>3065092392</v>
      </c>
      <c r="J13" s="1231"/>
      <c r="K13" s="1231">
        <f>SUM(K14:K17)</f>
        <v>9590078681</v>
      </c>
      <c r="L13" s="1226"/>
      <c r="M13" s="1232">
        <v>3150696218</v>
      </c>
      <c r="N13" s="1226"/>
      <c r="O13" s="1232">
        <f>SUM(O14:O17)</f>
        <v>9590078681</v>
      </c>
      <c r="Q13" s="1200"/>
      <c r="R13" s="1201"/>
      <c r="S13" s="1202"/>
      <c r="T13" s="1202"/>
      <c r="U13" s="1203"/>
      <c r="V13" s="1204"/>
      <c r="W13" s="312"/>
      <c r="X13" s="335"/>
      <c r="Y13" s="335"/>
      <c r="Z13" s="341"/>
    </row>
    <row r="14" spans="1:26" s="1150" customFormat="1" ht="15" hidden="1">
      <c r="A14" s="1385"/>
      <c r="B14" s="1236" t="s">
        <v>658</v>
      </c>
      <c r="C14" s="1237"/>
      <c r="D14" s="1238"/>
      <c r="E14" s="1239"/>
      <c r="F14" s="1238"/>
      <c r="G14" s="1240"/>
      <c r="H14" s="1240"/>
      <c r="I14" s="1241"/>
      <c r="J14" s="1241"/>
      <c r="K14" s="1241"/>
      <c r="L14" s="1237"/>
      <c r="M14" s="1242"/>
      <c r="N14" s="1237"/>
      <c r="O14" s="1242"/>
      <c r="Q14" s="1386"/>
      <c r="R14" s="1387"/>
      <c r="S14" s="1388"/>
      <c r="T14" s="1388"/>
      <c r="U14" s="1389"/>
      <c r="V14" s="1390"/>
      <c r="W14" s="1215"/>
      <c r="X14" s="1216"/>
      <c r="Y14" s="1216"/>
      <c r="Z14" s="1217"/>
    </row>
    <row r="15" spans="1:26" s="1150" customFormat="1" ht="15" hidden="1">
      <c r="A15" s="1385"/>
      <c r="B15" s="1376" t="s">
        <v>659</v>
      </c>
      <c r="C15" s="1391"/>
      <c r="D15" s="1238"/>
      <c r="E15" s="1392"/>
      <c r="F15" s="1238"/>
      <c r="G15" s="1240"/>
      <c r="H15" s="1240"/>
      <c r="I15" s="1241">
        <v>63714176</v>
      </c>
      <c r="J15" s="1241"/>
      <c r="K15" s="1241">
        <v>63714176</v>
      </c>
      <c r="L15" s="1391"/>
      <c r="M15" s="1242">
        <v>63714176</v>
      </c>
      <c r="N15" s="1391"/>
      <c r="O15" s="1242">
        <v>63714176</v>
      </c>
      <c r="Q15" s="1386"/>
      <c r="R15" s="1387">
        <v>1114823625</v>
      </c>
      <c r="S15" s="1388">
        <f>R15-K15</f>
        <v>1051109449</v>
      </c>
      <c r="T15" s="1388"/>
      <c r="U15" s="1389"/>
      <c r="V15" s="1390"/>
      <c r="W15" s="1215"/>
      <c r="X15" s="1216"/>
      <c r="Y15" s="1216"/>
      <c r="Z15" s="1217"/>
    </row>
    <row r="16" spans="1:26" s="1150" customFormat="1" ht="15" hidden="1">
      <c r="A16" s="1385"/>
      <c r="B16" s="1376" t="s">
        <v>660</v>
      </c>
      <c r="C16" s="1391"/>
      <c r="D16" s="1238"/>
      <c r="E16" s="1392"/>
      <c r="F16" s="1238"/>
      <c r="G16" s="1240"/>
      <c r="H16" s="1240"/>
      <c r="I16" s="1241">
        <v>9526364505</v>
      </c>
      <c r="J16" s="1241"/>
      <c r="K16" s="1241">
        <v>9526364505</v>
      </c>
      <c r="L16" s="1391"/>
      <c r="M16" s="1242">
        <v>9526364505</v>
      </c>
      <c r="N16" s="1391"/>
      <c r="O16" s="1242">
        <v>9526364505</v>
      </c>
      <c r="Q16" s="1386"/>
      <c r="R16" s="1387"/>
      <c r="S16" s="1388"/>
      <c r="T16" s="1388"/>
      <c r="U16" s="1389"/>
      <c r="V16" s="1390"/>
      <c r="W16" s="1215"/>
      <c r="X16" s="1216"/>
      <c r="Y16" s="1216"/>
      <c r="Z16" s="1217"/>
    </row>
    <row r="17" spans="1:26" s="1150" customFormat="1" ht="45" hidden="1">
      <c r="A17" s="1385"/>
      <c r="B17" s="1376" t="s">
        <v>939</v>
      </c>
      <c r="C17" s="1391"/>
      <c r="D17" s="1238"/>
      <c r="E17" s="1392"/>
      <c r="F17" s="1238"/>
      <c r="G17" s="1240"/>
      <c r="H17" s="1240"/>
      <c r="I17" s="1241"/>
      <c r="J17" s="1241"/>
      <c r="K17" s="1241"/>
      <c r="L17" s="1391"/>
      <c r="M17" s="1242">
        <v>0</v>
      </c>
      <c r="N17" s="1391"/>
      <c r="O17" s="1242">
        <v>0</v>
      </c>
      <c r="Q17" s="1386"/>
      <c r="R17" s="1387"/>
      <c r="S17" s="1388"/>
      <c r="T17" s="1388"/>
      <c r="U17" s="1389"/>
      <c r="V17" s="1390"/>
      <c r="W17" s="1215"/>
      <c r="X17" s="1216"/>
      <c r="Y17" s="1216"/>
      <c r="Z17" s="1217"/>
    </row>
    <row r="18" spans="1:26" s="68" customFormat="1" ht="15.75" customHeight="1">
      <c r="A18" s="1224" t="s">
        <v>666</v>
      </c>
      <c r="B18" s="1225" t="s">
        <v>1550</v>
      </c>
      <c r="C18" s="1226"/>
      <c r="D18" s="1227" t="s">
        <v>663</v>
      </c>
      <c r="E18" s="1228"/>
      <c r="F18" s="1229" t="s">
        <v>1185</v>
      </c>
      <c r="G18" s="1230"/>
      <c r="H18" s="1230"/>
      <c r="I18" s="1248">
        <f>I12-I13</f>
        <v>138489553431</v>
      </c>
      <c r="J18" s="1248"/>
      <c r="K18" s="1248">
        <f>K12-K13</f>
        <v>168901848289</v>
      </c>
      <c r="L18" s="1226"/>
      <c r="M18" s="1232">
        <f>M12-M13</f>
        <v>230752382571</v>
      </c>
      <c r="N18" s="1226"/>
      <c r="O18" s="1232">
        <f>O12-O13</f>
        <v>326613411191</v>
      </c>
      <c r="Q18" s="1200"/>
      <c r="R18" s="1201"/>
      <c r="S18" s="1202"/>
      <c r="T18" s="1202"/>
      <c r="U18" s="1203"/>
      <c r="V18" s="1204"/>
      <c r="W18" s="312"/>
      <c r="X18" s="335"/>
      <c r="Y18" s="335"/>
      <c r="Z18" s="341"/>
    </row>
    <row r="19" spans="1:26" s="68" customFormat="1" ht="21" customHeight="1">
      <c r="A19" s="1224" t="s">
        <v>668</v>
      </c>
      <c r="B19" s="1225" t="s">
        <v>665</v>
      </c>
      <c r="C19" s="1226"/>
      <c r="D19" s="1227" t="s">
        <v>704</v>
      </c>
      <c r="E19" s="1228"/>
      <c r="F19" s="1229" t="s">
        <v>312</v>
      </c>
      <c r="G19" s="1230"/>
      <c r="H19" s="1230">
        <v>632</v>
      </c>
      <c r="I19" s="1231">
        <v>122795128064</v>
      </c>
      <c r="J19" s="1231"/>
      <c r="K19" s="1231">
        <v>150633049284</v>
      </c>
      <c r="L19" s="1226"/>
      <c r="M19" s="1232">
        <v>205275565051</v>
      </c>
      <c r="N19" s="1226"/>
      <c r="O19" s="1232">
        <v>294660848324</v>
      </c>
      <c r="Q19" s="1200"/>
      <c r="R19" s="1201"/>
      <c r="S19" s="1202"/>
      <c r="T19" s="1202"/>
      <c r="U19" s="1203"/>
      <c r="V19" s="1204"/>
      <c r="W19" s="312"/>
      <c r="X19" s="335"/>
      <c r="Y19" s="335"/>
      <c r="Z19" s="341"/>
    </row>
    <row r="20" spans="1:26" s="68" customFormat="1" ht="21" customHeight="1">
      <c r="A20" s="1224" t="s">
        <v>669</v>
      </c>
      <c r="B20" s="1225" t="s">
        <v>1549</v>
      </c>
      <c r="C20" s="1226"/>
      <c r="D20" s="1227" t="s">
        <v>667</v>
      </c>
      <c r="E20" s="1228"/>
      <c r="F20" s="1227"/>
      <c r="G20" s="1230"/>
      <c r="H20" s="1230"/>
      <c r="I20" s="1234">
        <f>I18-I19</f>
        <v>15694425367</v>
      </c>
      <c r="J20" s="1231"/>
      <c r="K20" s="1234">
        <f>K18-K19</f>
        <v>18268799005</v>
      </c>
      <c r="L20" s="1226"/>
      <c r="M20" s="1232">
        <f>M18-M19</f>
        <v>25476817520</v>
      </c>
      <c r="N20" s="1226"/>
      <c r="O20" s="1232">
        <f>O18-O19</f>
        <v>31952562867</v>
      </c>
      <c r="Q20" s="1205"/>
      <c r="R20" s="1206"/>
      <c r="S20" s="1207"/>
      <c r="T20" s="1207"/>
      <c r="U20" s="1208"/>
      <c r="V20" s="1209"/>
      <c r="W20" s="312"/>
      <c r="X20" s="335"/>
      <c r="Y20" s="335"/>
      <c r="Z20" s="341"/>
    </row>
    <row r="21" spans="1:26" s="68" customFormat="1" ht="21" customHeight="1">
      <c r="A21" s="1224" t="s">
        <v>673</v>
      </c>
      <c r="B21" s="1225" t="s">
        <v>1500</v>
      </c>
      <c r="C21" s="1226"/>
      <c r="D21" s="1227" t="s">
        <v>671</v>
      </c>
      <c r="E21" s="1228"/>
      <c r="F21" s="1229" t="s">
        <v>323</v>
      </c>
      <c r="G21" s="1230"/>
      <c r="H21" s="1230">
        <v>515</v>
      </c>
      <c r="I21" s="1248">
        <v>37788801</v>
      </c>
      <c r="J21" s="1231"/>
      <c r="K21" s="1248">
        <v>6559362718</v>
      </c>
      <c r="L21" s="1226"/>
      <c r="M21" s="1232">
        <v>3305627803</v>
      </c>
      <c r="N21" s="1226"/>
      <c r="O21" s="1232">
        <v>15940199230</v>
      </c>
      <c r="Q21" s="1200"/>
      <c r="R21" s="1201">
        <f>Q21-M21</f>
        <v>-3305627803</v>
      </c>
      <c r="S21" s="1202"/>
      <c r="T21" s="1202"/>
      <c r="U21" s="1203"/>
      <c r="V21" s="1204"/>
      <c r="W21" s="312"/>
      <c r="X21" s="335"/>
      <c r="Y21" s="335"/>
      <c r="Z21" s="341"/>
    </row>
    <row r="22" spans="1:26" s="68" customFormat="1" ht="21" customHeight="1">
      <c r="A22" s="1224" t="s">
        <v>676</v>
      </c>
      <c r="B22" s="1225" t="s">
        <v>670</v>
      </c>
      <c r="C22" s="1226"/>
      <c r="D22" s="1227" t="s">
        <v>675</v>
      </c>
      <c r="E22" s="1228"/>
      <c r="F22" s="1229" t="s">
        <v>324</v>
      </c>
      <c r="G22" s="1230"/>
      <c r="H22" s="1230">
        <v>635</v>
      </c>
      <c r="I22" s="1248">
        <f>6894237066+9789900434-10200000000</f>
        <v>6484137500</v>
      </c>
      <c r="J22" s="1231"/>
      <c r="K22" s="1248">
        <v>10902994001</v>
      </c>
      <c r="L22" s="1226"/>
      <c r="M22" s="1232">
        <f>13273102178-723630500+9789900434-10200000000</f>
        <v>12139372112</v>
      </c>
      <c r="N22" s="1226"/>
      <c r="O22" s="1232">
        <v>21441240325</v>
      </c>
      <c r="Q22" s="1200"/>
      <c r="R22" s="1201"/>
      <c r="S22" s="1202"/>
      <c r="T22" s="1202"/>
      <c r="U22" s="1203"/>
      <c r="V22" s="1204"/>
      <c r="W22" s="312"/>
      <c r="X22" s="335"/>
      <c r="Y22" s="335"/>
      <c r="Z22" s="341"/>
    </row>
    <row r="23" spans="1:26" s="1150" customFormat="1" ht="17.25" customHeight="1">
      <c r="A23" s="1235"/>
      <c r="B23" s="1236" t="s">
        <v>702</v>
      </c>
      <c r="C23" s="1237"/>
      <c r="D23" s="1238" t="s">
        <v>672</v>
      </c>
      <c r="E23" s="1239"/>
      <c r="F23" s="1238"/>
      <c r="G23" s="1240"/>
      <c r="H23" s="1240"/>
      <c r="I23" s="1319">
        <v>6201170211</v>
      </c>
      <c r="J23" s="1241"/>
      <c r="K23" s="1319">
        <v>10833512626</v>
      </c>
      <c r="L23" s="1237"/>
      <c r="M23" s="1320">
        <v>12476814638</v>
      </c>
      <c r="N23" s="1237"/>
      <c r="O23" s="1320">
        <v>20114987411</v>
      </c>
      <c r="Q23" s="1210"/>
      <c r="R23" s="1211"/>
      <c r="S23" s="1212"/>
      <c r="T23" s="1212"/>
      <c r="U23" s="1213"/>
      <c r="V23" s="1214"/>
      <c r="W23" s="1215"/>
      <c r="X23" s="1216"/>
      <c r="Y23" s="1216"/>
      <c r="Z23" s="1217"/>
    </row>
    <row r="24" spans="1:26" s="68" customFormat="1" ht="21" customHeight="1">
      <c r="A24" s="1224" t="s">
        <v>678</v>
      </c>
      <c r="B24" s="1225" t="s">
        <v>674</v>
      </c>
      <c r="C24" s="1226"/>
      <c r="D24" s="1227" t="s">
        <v>682</v>
      </c>
      <c r="E24" s="1228"/>
      <c r="F24" s="1227"/>
      <c r="G24" s="1230"/>
      <c r="H24" s="1230">
        <v>641</v>
      </c>
      <c r="I24" s="1231">
        <v>2782050857</v>
      </c>
      <c r="J24" s="1231"/>
      <c r="K24" s="1231">
        <v>2688788077</v>
      </c>
      <c r="L24" s="1226"/>
      <c r="M24" s="1231">
        <v>3561277728</v>
      </c>
      <c r="N24" s="1226"/>
      <c r="O24" s="1231">
        <v>5072090640</v>
      </c>
      <c r="Q24" s="1200"/>
      <c r="R24" s="1201"/>
      <c r="S24" s="1202"/>
      <c r="T24" s="1202"/>
      <c r="U24" s="1203"/>
      <c r="V24" s="1204"/>
      <c r="W24" s="312"/>
      <c r="X24" s="335"/>
      <c r="Y24" s="335"/>
      <c r="Z24" s="341"/>
    </row>
    <row r="25" spans="1:26" s="68" customFormat="1" ht="21" customHeight="1">
      <c r="A25" s="1224" t="s">
        <v>680</v>
      </c>
      <c r="B25" s="1225" t="s">
        <v>677</v>
      </c>
      <c r="C25" s="1226"/>
      <c r="D25" s="1227" t="s">
        <v>685</v>
      </c>
      <c r="E25" s="1228"/>
      <c r="F25" s="1227"/>
      <c r="G25" s="1230"/>
      <c r="H25" s="1230">
        <v>642</v>
      </c>
      <c r="I25" s="1231">
        <v>4141195736</v>
      </c>
      <c r="J25" s="1231"/>
      <c r="K25" s="1231">
        <v>5555386802</v>
      </c>
      <c r="L25" s="1226"/>
      <c r="M25" s="1232">
        <v>8391178514</v>
      </c>
      <c r="N25" s="1226"/>
      <c r="O25" s="1232">
        <v>10535938351</v>
      </c>
      <c r="Q25" s="1200"/>
      <c r="R25" s="1201"/>
      <c r="S25" s="1202"/>
      <c r="T25" s="1202"/>
      <c r="U25" s="1203"/>
      <c r="V25" s="1204"/>
      <c r="W25" s="312"/>
      <c r="X25" s="335"/>
      <c r="Y25" s="335"/>
      <c r="Z25" s="341"/>
    </row>
    <row r="26" spans="1:26" s="68" customFormat="1" ht="21" customHeight="1">
      <c r="A26" s="1224" t="s">
        <v>683</v>
      </c>
      <c r="B26" s="1225" t="s">
        <v>699</v>
      </c>
      <c r="C26" s="1226"/>
      <c r="D26" s="1227" t="s">
        <v>679</v>
      </c>
      <c r="E26" s="1228"/>
      <c r="F26" s="1227"/>
      <c r="G26" s="1230"/>
      <c r="H26" s="1230"/>
      <c r="I26" s="1231">
        <f>I20+I21-I22-I24-I25</f>
        <v>2324830075</v>
      </c>
      <c r="J26" s="1231"/>
      <c r="K26" s="1231">
        <f>K20+K21-K22-K24-K25</f>
        <v>5680992843</v>
      </c>
      <c r="L26" s="1226"/>
      <c r="M26" s="1232">
        <f>M20+M21-M22-M24-M25</f>
        <v>4690616969</v>
      </c>
      <c r="N26" s="1226"/>
      <c r="O26" s="1232">
        <f>O20+O21-O22-O24-O25</f>
        <v>10843492781</v>
      </c>
      <c r="Q26" s="1200"/>
      <c r="R26" s="1201"/>
      <c r="S26" s="1202"/>
      <c r="T26" s="1202"/>
      <c r="U26" s="1203"/>
      <c r="V26" s="1204"/>
      <c r="W26" s="312"/>
      <c r="X26" s="335"/>
      <c r="Y26" s="335"/>
      <c r="Z26" s="341"/>
    </row>
    <row r="27" spans="1:26" s="68" customFormat="1" ht="21" customHeight="1">
      <c r="A27" s="1224" t="s">
        <v>686</v>
      </c>
      <c r="B27" s="1225" t="s">
        <v>681</v>
      </c>
      <c r="C27" s="1226"/>
      <c r="D27" s="1227" t="s">
        <v>705</v>
      </c>
      <c r="E27" s="1228"/>
      <c r="F27" s="1227" t="s">
        <v>325</v>
      </c>
      <c r="G27" s="1230"/>
      <c r="H27" s="1230">
        <v>711</v>
      </c>
      <c r="I27" s="1231">
        <v>335779110</v>
      </c>
      <c r="J27" s="1231"/>
      <c r="K27" s="1231">
        <v>135852644</v>
      </c>
      <c r="L27" s="1226"/>
      <c r="M27" s="1232">
        <v>1425622032</v>
      </c>
      <c r="N27" s="1226"/>
      <c r="O27" s="1232">
        <v>447399650</v>
      </c>
      <c r="Q27" s="1200"/>
      <c r="R27" s="1201"/>
      <c r="S27" s="1202"/>
      <c r="T27" s="1202"/>
      <c r="U27" s="1203"/>
      <c r="V27" s="1204"/>
      <c r="W27" s="312"/>
      <c r="X27" s="335"/>
      <c r="Y27" s="335"/>
      <c r="Z27" s="341"/>
    </row>
    <row r="28" spans="1:26" s="68" customFormat="1" ht="21" customHeight="1">
      <c r="A28" s="1224" t="s">
        <v>689</v>
      </c>
      <c r="B28" s="1225" t="s">
        <v>684</v>
      </c>
      <c r="C28" s="1226"/>
      <c r="D28" s="1227" t="s">
        <v>706</v>
      </c>
      <c r="E28" s="1228"/>
      <c r="F28" s="1227" t="s">
        <v>403</v>
      </c>
      <c r="G28" s="1230"/>
      <c r="H28" s="1230">
        <v>811</v>
      </c>
      <c r="I28" s="1231">
        <v>421743311</v>
      </c>
      <c r="J28" s="1231"/>
      <c r="K28" s="1231">
        <v>177008138</v>
      </c>
      <c r="L28" s="1226"/>
      <c r="M28" s="1232">
        <v>1337639429</v>
      </c>
      <c r="N28" s="1226"/>
      <c r="O28" s="1232">
        <v>486215889</v>
      </c>
      <c r="Q28" s="1200"/>
      <c r="R28" s="1201"/>
      <c r="S28" s="1202"/>
      <c r="T28" s="1202"/>
      <c r="U28" s="1203"/>
      <c r="V28" s="1204"/>
      <c r="W28" s="312"/>
      <c r="X28" s="335"/>
      <c r="Y28" s="335"/>
      <c r="Z28" s="341"/>
    </row>
    <row r="29" spans="1:26" s="68" customFormat="1" ht="21" customHeight="1">
      <c r="A29" s="1224" t="s">
        <v>691</v>
      </c>
      <c r="B29" s="1225" t="s">
        <v>687</v>
      </c>
      <c r="C29" s="1226"/>
      <c r="D29" s="1227" t="s">
        <v>688</v>
      </c>
      <c r="E29" s="1228"/>
      <c r="F29" s="1227"/>
      <c r="G29" s="1230"/>
      <c r="H29" s="1230"/>
      <c r="I29" s="1231">
        <f>I27-I28</f>
        <v>-85964201</v>
      </c>
      <c r="J29" s="1231"/>
      <c r="K29" s="1231">
        <f>K27-K28</f>
        <v>-41155494</v>
      </c>
      <c r="L29" s="1226"/>
      <c r="M29" s="1232">
        <f>M27-M28</f>
        <v>87982603</v>
      </c>
      <c r="N29" s="1226"/>
      <c r="O29" s="1232">
        <f>O27-O28</f>
        <v>-38816239</v>
      </c>
      <c r="Q29" s="1200"/>
      <c r="R29" s="1201"/>
      <c r="S29" s="1202"/>
      <c r="T29" s="1202"/>
      <c r="U29" s="1203"/>
      <c r="V29" s="1204"/>
      <c r="W29" s="312"/>
      <c r="X29" s="335"/>
      <c r="Y29" s="335"/>
      <c r="Z29" s="341"/>
    </row>
    <row r="30" spans="1:26" s="68" customFormat="1" ht="21" customHeight="1">
      <c r="A30" s="1224" t="s">
        <v>692</v>
      </c>
      <c r="B30" s="1225" t="s">
        <v>700</v>
      </c>
      <c r="C30" s="1226"/>
      <c r="D30" s="1227" t="s">
        <v>690</v>
      </c>
      <c r="E30" s="1228"/>
      <c r="F30" s="1227"/>
      <c r="G30" s="1230"/>
      <c r="H30" s="1230"/>
      <c r="I30" s="1231">
        <f>I26+I29</f>
        <v>2238865874</v>
      </c>
      <c r="J30" s="1231"/>
      <c r="K30" s="1231">
        <f>K26+K29</f>
        <v>5639837349</v>
      </c>
      <c r="L30" s="1226"/>
      <c r="M30" s="1232">
        <f>M26+M29</f>
        <v>4778599572</v>
      </c>
      <c r="N30" s="1226"/>
      <c r="O30" s="1232">
        <f>O26+O29</f>
        <v>10804676542</v>
      </c>
      <c r="Q30" s="1200"/>
      <c r="R30" s="1201"/>
      <c r="S30" s="1202"/>
      <c r="T30" s="1202"/>
      <c r="U30" s="1203"/>
      <c r="V30" s="1204"/>
      <c r="W30" s="312"/>
      <c r="X30" s="335"/>
      <c r="Y30" s="335"/>
      <c r="Z30" s="341"/>
    </row>
    <row r="31" spans="1:26" s="68" customFormat="1" ht="21" customHeight="1">
      <c r="A31" s="1233" t="s">
        <v>693</v>
      </c>
      <c r="B31" s="1225" t="s">
        <v>1521</v>
      </c>
      <c r="C31" s="1226"/>
      <c r="D31" s="1227" t="s">
        <v>694</v>
      </c>
      <c r="E31" s="1228"/>
      <c r="F31" s="1229" t="s">
        <v>404</v>
      </c>
      <c r="G31" s="1230"/>
      <c r="H31" s="1230">
        <v>821</v>
      </c>
      <c r="I31" s="1231">
        <v>490041577</v>
      </c>
      <c r="J31" s="1231"/>
      <c r="K31" s="1231">
        <v>598984447</v>
      </c>
      <c r="L31" s="1226"/>
      <c r="M31" s="1232">
        <v>940329877</v>
      </c>
      <c r="N31" s="1226"/>
      <c r="O31" s="1232">
        <v>1889929745</v>
      </c>
      <c r="Q31" s="1200"/>
      <c r="R31" s="1201"/>
      <c r="S31" s="1202"/>
      <c r="T31" s="1202"/>
      <c r="U31" s="1203"/>
      <c r="V31" s="1204"/>
      <c r="W31" s="312"/>
      <c r="X31" s="335"/>
      <c r="Y31" s="335"/>
      <c r="Z31" s="341"/>
    </row>
    <row r="32" spans="1:26" s="68" customFormat="1" ht="21" customHeight="1">
      <c r="A32" s="1233" t="s">
        <v>695</v>
      </c>
      <c r="B32" s="1225" t="s">
        <v>1522</v>
      </c>
      <c r="C32" s="1226"/>
      <c r="D32" s="1243">
        <v>52</v>
      </c>
      <c r="E32" s="1228"/>
      <c r="F32" s="1229"/>
      <c r="G32" s="1230"/>
      <c r="H32" s="1230"/>
      <c r="I32" s="1231">
        <f>0</f>
        <v>0</v>
      </c>
      <c r="J32" s="1231"/>
      <c r="K32" s="1231">
        <f>0</f>
        <v>0</v>
      </c>
      <c r="L32" s="1226"/>
      <c r="M32" s="1232">
        <v>0</v>
      </c>
      <c r="N32" s="1232"/>
      <c r="O32" s="1232">
        <v>0</v>
      </c>
      <c r="Q32" s="1200"/>
      <c r="R32" s="1201"/>
      <c r="S32" s="1202"/>
      <c r="T32" s="1202"/>
      <c r="U32" s="1203"/>
      <c r="V32" s="1204"/>
      <c r="W32" s="312"/>
      <c r="X32" s="335"/>
      <c r="Y32" s="335"/>
      <c r="Z32" s="341"/>
    </row>
    <row r="33" spans="1:26" s="68" customFormat="1" ht="21" customHeight="1">
      <c r="A33" s="1233" t="s">
        <v>1523</v>
      </c>
      <c r="B33" s="1225" t="s">
        <v>701</v>
      </c>
      <c r="C33" s="1226"/>
      <c r="D33" s="1227" t="s">
        <v>696</v>
      </c>
      <c r="E33" s="1228"/>
      <c r="F33" s="1227"/>
      <c r="G33" s="1230"/>
      <c r="H33" s="1230"/>
      <c r="I33" s="1230">
        <f>I30-I32-I31</f>
        <v>1748824297</v>
      </c>
      <c r="J33" s="1231"/>
      <c r="K33" s="1230">
        <f>K30-K32-K31</f>
        <v>5040852902</v>
      </c>
      <c r="L33" s="1226"/>
      <c r="M33" s="1232">
        <f>M30-M32-M31</f>
        <v>3838269695</v>
      </c>
      <c r="N33" s="1232"/>
      <c r="O33" s="1232">
        <f>O30-O32-O31</f>
        <v>8914746797</v>
      </c>
      <c r="Q33" s="1218"/>
      <c r="R33" s="1219"/>
      <c r="S33" s="1220"/>
      <c r="T33" s="1220"/>
      <c r="U33" s="1221"/>
      <c r="V33" s="1222"/>
      <c r="W33" s="312"/>
      <c r="X33" s="335"/>
      <c r="Y33" s="335"/>
      <c r="Z33" s="341"/>
    </row>
    <row r="34" spans="1:26" s="68" customFormat="1" ht="21" customHeight="1">
      <c r="A34" s="1233" t="s">
        <v>1524</v>
      </c>
      <c r="B34" s="1244" t="s">
        <v>547</v>
      </c>
      <c r="C34" s="1230"/>
      <c r="D34" s="1228"/>
      <c r="E34" s="1227"/>
      <c r="F34" s="1227"/>
      <c r="G34" s="1230"/>
      <c r="H34" s="1245"/>
      <c r="I34" s="1232">
        <f>I33/BS!L102*10000</f>
        <v>157</v>
      </c>
      <c r="J34" s="1246"/>
      <c r="K34" s="1232">
        <f>K33/BS!N102*10000</f>
        <v>454</v>
      </c>
      <c r="L34" s="1230"/>
      <c r="M34" s="1232">
        <f>M33/BS!L102*10000</f>
        <v>345</v>
      </c>
      <c r="N34" s="1247"/>
      <c r="O34" s="1232">
        <f>O33/BS!N102*10000</f>
        <v>802</v>
      </c>
      <c r="Q34" s="1223">
        <f>O33*O34</f>
        <v>7149626931194</v>
      </c>
      <c r="R34" s="312"/>
      <c r="S34" s="317"/>
      <c r="T34" s="317"/>
      <c r="U34" s="323"/>
      <c r="V34" s="329"/>
      <c r="W34" s="312"/>
      <c r="X34" s="335"/>
      <c r="Y34" s="335"/>
      <c r="Z34" s="341"/>
    </row>
    <row r="35" spans="1:26" s="89" customFormat="1" ht="15">
      <c r="A35" s="80"/>
      <c r="B35" s="81"/>
      <c r="C35" s="81"/>
      <c r="D35" s="80"/>
      <c r="E35" s="81"/>
      <c r="F35" s="81"/>
      <c r="G35" s="81"/>
      <c r="H35" s="84"/>
      <c r="I35" s="87"/>
      <c r="J35" s="87"/>
      <c r="K35" s="88"/>
      <c r="L35" s="81"/>
      <c r="M35" s="81"/>
      <c r="N35" s="81"/>
      <c r="O35" s="81"/>
      <c r="Q35" s="301"/>
      <c r="R35" s="310"/>
      <c r="S35" s="318"/>
      <c r="T35" s="318"/>
      <c r="U35" s="324"/>
      <c r="V35" s="330"/>
      <c r="W35" s="310"/>
      <c r="X35" s="336"/>
      <c r="Y35" s="336"/>
      <c r="Z35" s="342"/>
    </row>
    <row r="36" spans="1:26" s="82" customFormat="1" ht="15">
      <c r="A36" s="83"/>
      <c r="B36" s="83"/>
      <c r="C36" s="83"/>
      <c r="D36" s="60"/>
      <c r="E36" s="83"/>
      <c r="F36" s="60"/>
      <c r="G36" s="60"/>
      <c r="H36" s="60"/>
      <c r="I36" s="63"/>
      <c r="J36" s="63"/>
      <c r="K36" s="60"/>
      <c r="L36" s="83"/>
      <c r="M36" s="60"/>
      <c r="N36" s="83"/>
      <c r="O36" s="60"/>
      <c r="Q36" s="302"/>
      <c r="R36" s="311"/>
      <c r="S36" s="316"/>
      <c r="T36" s="316"/>
      <c r="U36" s="322"/>
      <c r="V36" s="328"/>
      <c r="W36" s="311"/>
      <c r="X36" s="334"/>
      <c r="Y36" s="334"/>
      <c r="Z36" s="340"/>
    </row>
    <row r="37" spans="1:26" s="82" customFormat="1" ht="15.75" customHeight="1">
      <c r="A37" s="83"/>
      <c r="B37" s="83"/>
      <c r="C37" s="83"/>
      <c r="E37" s="75"/>
      <c r="F37" s="75"/>
      <c r="G37" s="75"/>
      <c r="H37" s="84"/>
      <c r="I37" s="85"/>
      <c r="J37" s="85"/>
      <c r="K37" s="83"/>
      <c r="L37" s="75"/>
      <c r="M37" s="1150" t="str">
        <f>'Ten '!A19</f>
        <v>Hµ Néi, ngµy 30 th¸ng 07 n¨m 2013</v>
      </c>
      <c r="N37" s="75"/>
      <c r="O37" s="75"/>
      <c r="Q37" s="303"/>
      <c r="R37" s="311"/>
      <c r="S37" s="316"/>
      <c r="T37" s="316"/>
      <c r="U37" s="322"/>
      <c r="V37" s="328"/>
      <c r="W37" s="311"/>
      <c r="X37" s="334"/>
      <c r="Y37" s="334"/>
      <c r="Z37" s="340"/>
    </row>
    <row r="38" spans="1:26" s="82" customFormat="1" ht="15.75" customHeight="1">
      <c r="A38" s="83"/>
      <c r="B38" s="60" t="s">
        <v>283</v>
      </c>
      <c r="C38" s="60"/>
      <c r="D38" s="83"/>
      <c r="E38" s="60"/>
      <c r="G38" s="60"/>
      <c r="H38" s="84"/>
      <c r="I38" s="63" t="s">
        <v>707</v>
      </c>
      <c r="J38" s="85"/>
      <c r="K38" s="83"/>
      <c r="M38" s="60"/>
      <c r="N38" s="60" t="s">
        <v>559</v>
      </c>
      <c r="O38" s="60"/>
      <c r="Q38" s="303"/>
      <c r="R38" s="311"/>
      <c r="S38" s="316"/>
      <c r="T38" s="316"/>
      <c r="U38" s="322"/>
      <c r="V38" s="328"/>
      <c r="W38" s="311"/>
      <c r="X38" s="334"/>
      <c r="Y38" s="334"/>
      <c r="Z38" s="340"/>
    </row>
    <row r="39" spans="1:26" s="82" customFormat="1" ht="15">
      <c r="A39" s="83"/>
      <c r="B39" s="92"/>
      <c r="C39" s="83"/>
      <c r="D39" s="83"/>
      <c r="E39" s="83"/>
      <c r="G39" s="60"/>
      <c r="H39" s="60"/>
      <c r="I39" s="86"/>
      <c r="J39" s="86"/>
      <c r="K39" s="1230"/>
      <c r="L39" s="60"/>
      <c r="M39" s="83"/>
      <c r="O39" s="83"/>
      <c r="Q39" s="304"/>
      <c r="R39" s="311"/>
      <c r="S39" s="316"/>
      <c r="T39" s="316"/>
      <c r="U39" s="322"/>
      <c r="V39" s="328"/>
      <c r="W39" s="311"/>
      <c r="X39" s="334"/>
      <c r="Y39" s="334"/>
      <c r="Z39" s="340"/>
    </row>
    <row r="40" spans="1:26" s="82" customFormat="1" ht="21.75" customHeight="1">
      <c r="A40" s="83"/>
      <c r="B40" s="92"/>
      <c r="C40" s="83"/>
      <c r="D40" s="83"/>
      <c r="E40" s="83"/>
      <c r="G40" s="60"/>
      <c r="H40" s="60"/>
      <c r="I40" s="86"/>
      <c r="J40" s="86"/>
      <c r="K40" s="1230">
        <f>M31/M30</f>
        <v>0</v>
      </c>
      <c r="L40" s="60"/>
      <c r="M40" s="83"/>
      <c r="O40" s="83"/>
      <c r="Q40" s="304"/>
      <c r="R40" s="311"/>
      <c r="S40" s="316"/>
      <c r="T40" s="316"/>
      <c r="U40" s="322"/>
      <c r="V40" s="328"/>
      <c r="W40" s="311"/>
      <c r="X40" s="334"/>
      <c r="Y40" s="334"/>
      <c r="Z40" s="340"/>
    </row>
    <row r="41" spans="1:26" s="82" customFormat="1" ht="21.75" customHeight="1">
      <c r="A41" s="83"/>
      <c r="B41" s="92"/>
      <c r="C41" s="83"/>
      <c r="D41" s="83"/>
      <c r="E41" s="83"/>
      <c r="G41" s="60"/>
      <c r="H41" s="60"/>
      <c r="I41" s="86"/>
      <c r="J41" s="86"/>
      <c r="K41" s="83"/>
      <c r="L41" s="60"/>
      <c r="M41" s="83"/>
      <c r="O41" s="83"/>
      <c r="Q41" s="304"/>
      <c r="R41" s="311"/>
      <c r="S41" s="316"/>
      <c r="T41" s="316"/>
      <c r="U41" s="322"/>
      <c r="V41" s="328"/>
      <c r="W41" s="311"/>
      <c r="X41" s="334"/>
      <c r="Y41" s="334"/>
      <c r="Z41" s="340"/>
    </row>
    <row r="42" spans="1:26" s="82" customFormat="1" ht="16.5" customHeight="1">
      <c r="A42" s="80"/>
      <c r="B42" s="93"/>
      <c r="C42" s="80"/>
      <c r="D42" s="80"/>
      <c r="E42" s="80"/>
      <c r="G42" s="81"/>
      <c r="H42" s="60"/>
      <c r="I42" s="86"/>
      <c r="J42" s="86"/>
      <c r="K42" s="83"/>
      <c r="L42" s="81"/>
      <c r="M42" s="80"/>
      <c r="O42" s="80"/>
      <c r="Q42" s="304"/>
      <c r="R42" s="311"/>
      <c r="S42" s="316"/>
      <c r="T42" s="316"/>
      <c r="U42" s="322"/>
      <c r="V42" s="328"/>
      <c r="W42" s="311"/>
      <c r="X42" s="334"/>
      <c r="Y42" s="334"/>
      <c r="Z42" s="340"/>
    </row>
    <row r="43" spans="1:26" s="82" customFormat="1" ht="15">
      <c r="A43" s="80"/>
      <c r="B43" s="80"/>
      <c r="C43" s="80"/>
      <c r="D43" s="80"/>
      <c r="E43" s="80"/>
      <c r="G43" s="81"/>
      <c r="H43" s="60"/>
      <c r="I43" s="86"/>
      <c r="J43" s="86"/>
      <c r="K43" s="83"/>
      <c r="L43" s="81"/>
      <c r="M43" s="80"/>
      <c r="O43" s="80"/>
      <c r="Q43" s="304"/>
      <c r="R43" s="311"/>
      <c r="S43" s="316"/>
      <c r="T43" s="316"/>
      <c r="U43" s="322"/>
      <c r="V43" s="328"/>
      <c r="W43" s="311"/>
      <c r="X43" s="334"/>
      <c r="Y43" s="334"/>
      <c r="Z43" s="340"/>
    </row>
    <row r="44" spans="1:26" s="89" customFormat="1" ht="15">
      <c r="A44" s="80"/>
      <c r="B44" s="422" t="s">
        <v>393</v>
      </c>
      <c r="C44" s="81"/>
      <c r="D44" s="80"/>
      <c r="E44" s="81"/>
      <c r="G44" s="81"/>
      <c r="H44" s="84"/>
      <c r="I44" s="87" t="s">
        <v>1245</v>
      </c>
      <c r="J44" s="87"/>
      <c r="K44" s="88"/>
      <c r="M44" s="1649" t="str">
        <f>'Ten '!B15</f>
        <v>Hoµng V¨n To¶n</v>
      </c>
      <c r="N44" s="1649"/>
      <c r="O44" s="1649"/>
      <c r="Q44" s="301"/>
      <c r="R44" s="310"/>
      <c r="S44" s="318"/>
      <c r="T44" s="318"/>
      <c r="U44" s="324"/>
      <c r="V44" s="330"/>
      <c r="W44" s="310"/>
      <c r="X44" s="336"/>
      <c r="Y44" s="336"/>
      <c r="Z44" s="342"/>
    </row>
    <row r="45" spans="1:26" s="89" customFormat="1" ht="15">
      <c r="A45" s="80"/>
      <c r="B45" s="81"/>
      <c r="C45" s="81"/>
      <c r="D45" s="80"/>
      <c r="E45" s="81"/>
      <c r="F45" s="81"/>
      <c r="G45" s="81"/>
      <c r="H45" s="84"/>
      <c r="I45" s="87"/>
      <c r="J45" s="87"/>
      <c r="K45" s="88"/>
      <c r="L45" s="81"/>
      <c r="M45" s="81"/>
      <c r="N45" s="81"/>
      <c r="O45" s="81"/>
      <c r="Q45" s="301"/>
      <c r="R45" s="310"/>
      <c r="S45" s="318"/>
      <c r="T45" s="318"/>
      <c r="U45" s="324"/>
      <c r="V45" s="330"/>
      <c r="W45" s="310"/>
      <c r="X45" s="336"/>
      <c r="Y45" s="336"/>
      <c r="Z45" s="342"/>
    </row>
    <row r="46" spans="1:26" s="68" customFormat="1">
      <c r="A46" s="62"/>
      <c r="B46" s="62"/>
      <c r="C46" s="62"/>
      <c r="D46" s="62"/>
      <c r="E46" s="62"/>
      <c r="F46" s="66"/>
      <c r="G46" s="66"/>
      <c r="H46" s="66"/>
      <c r="I46" s="67"/>
      <c r="J46" s="67"/>
      <c r="K46" s="66"/>
      <c r="L46" s="62"/>
      <c r="M46" s="90"/>
      <c r="N46" s="62"/>
      <c r="O46" s="66"/>
      <c r="Q46" s="305"/>
      <c r="R46" s="312"/>
      <c r="S46" s="317"/>
      <c r="T46" s="317"/>
      <c r="U46" s="323"/>
      <c r="V46" s="329"/>
      <c r="W46" s="312"/>
      <c r="X46" s="335"/>
      <c r="Y46" s="335"/>
      <c r="Z46" s="341"/>
    </row>
    <row r="47" spans="1:26" s="68" customFormat="1">
      <c r="A47" s="62"/>
      <c r="B47" s="62"/>
      <c r="C47" s="62"/>
      <c r="D47" s="62"/>
      <c r="E47" s="62"/>
      <c r="F47" s="66"/>
      <c r="G47" s="66"/>
      <c r="H47" s="66"/>
      <c r="I47" s="67"/>
      <c r="J47" s="67"/>
      <c r="K47" s="66"/>
      <c r="L47" s="62"/>
      <c r="M47" s="90"/>
      <c r="N47" s="62"/>
      <c r="O47" s="66"/>
      <c r="Q47" s="305"/>
      <c r="R47" s="312"/>
      <c r="S47" s="317"/>
      <c r="T47" s="317"/>
      <c r="U47" s="323"/>
      <c r="V47" s="329"/>
      <c r="W47" s="312"/>
      <c r="X47" s="335"/>
      <c r="Y47" s="335"/>
      <c r="Z47" s="341"/>
    </row>
    <row r="48" spans="1:26" s="68" customFormat="1">
      <c r="A48" s="62"/>
      <c r="B48" s="62"/>
      <c r="C48" s="62"/>
      <c r="D48" s="62"/>
      <c r="E48" s="62"/>
      <c r="F48" s="66"/>
      <c r="G48" s="66"/>
      <c r="H48" s="66"/>
      <c r="I48" s="67"/>
      <c r="J48" s="67"/>
      <c r="K48" s="66"/>
      <c r="L48" s="62"/>
      <c r="M48" s="90"/>
      <c r="N48" s="62"/>
      <c r="O48" s="66"/>
      <c r="Q48" s="305"/>
      <c r="R48" s="312"/>
      <c r="S48" s="317"/>
      <c r="T48" s="317"/>
      <c r="U48" s="323"/>
      <c r="V48" s="329"/>
      <c r="W48" s="312"/>
      <c r="X48" s="335"/>
      <c r="Y48" s="335"/>
      <c r="Z48" s="341"/>
    </row>
    <row r="56" spans="9:11">
      <c r="K56" s="64">
        <v>38343192913</v>
      </c>
    </row>
    <row r="57" spans="9:11">
      <c r="K57" s="64">
        <v>38988814129</v>
      </c>
    </row>
    <row r="58" spans="9:11">
      <c r="K58" s="64">
        <f>K56-K57</f>
        <v>-645621216</v>
      </c>
    </row>
    <row r="60" spans="9:11">
      <c r="I60" s="67" t="s">
        <v>184</v>
      </c>
      <c r="K60" s="64">
        <v>65691296802</v>
      </c>
    </row>
    <row r="61" spans="9:11">
      <c r="K61" s="64">
        <v>65142399805</v>
      </c>
    </row>
  </sheetData>
  <mergeCells count="10">
    <mergeCell ref="M44:O44"/>
    <mergeCell ref="A7:O7"/>
    <mergeCell ref="A6:O6"/>
    <mergeCell ref="I9:K9"/>
    <mergeCell ref="M9:O9"/>
    <mergeCell ref="B9:B10"/>
    <mergeCell ref="A9:A10"/>
    <mergeCell ref="D9:D10"/>
    <mergeCell ref="F9:F10"/>
    <mergeCell ref="H9:H10"/>
  </mergeCells>
  <phoneticPr fontId="0" type="noConversion"/>
  <printOptions horizontalCentered="1"/>
  <pageMargins left="0.9" right="0.2" top="0.32" bottom="0.76" header="0.23" footer="0.33"/>
  <pageSetup paperSize="9" firstPageNumber="9" orientation="landscape" useFirstPageNumber="1" r:id="rId1"/>
  <headerFooter alignWithMargins="0">
    <oddFooter>&amp;C
&amp;P</oddFooter>
  </headerFooter>
</worksheet>
</file>

<file path=xl/worksheets/sheet43.xml><?xml version="1.0" encoding="utf-8"?>
<worksheet xmlns="http://schemas.openxmlformats.org/spreadsheetml/2006/main" xmlns:r="http://schemas.openxmlformats.org/officeDocument/2006/relationships">
  <sheetPr codeName="Sheet13" enableFormatConditionsCalculation="0">
    <tabColor indexed="33"/>
  </sheetPr>
  <dimension ref="A1:R58"/>
  <sheetViews>
    <sheetView topLeftCell="A22" workbookViewId="0">
      <selection activeCell="K38" sqref="K38"/>
    </sheetView>
  </sheetViews>
  <sheetFormatPr defaultColWidth="8" defaultRowHeight="12.75"/>
  <cols>
    <col min="1" max="1" width="46.375" style="246" customWidth="1"/>
    <col min="2" max="2" width="6.75" style="246" hidden="1" customWidth="1"/>
    <col min="3" max="3" width="1.25" style="246" customWidth="1"/>
    <col min="4" max="4" width="6.625" style="247" customWidth="1"/>
    <col min="5" max="5" width="0.875" style="246" customWidth="1"/>
    <col min="6" max="6" width="7" style="246" hidden="1" customWidth="1"/>
    <col min="7" max="7" width="15.25" style="246" customWidth="1"/>
    <col min="8" max="8" width="0.75" style="246" customWidth="1"/>
    <col min="9" max="9" width="14.125" style="248" customWidth="1"/>
    <col min="10" max="10" width="2" style="240" customWidth="1"/>
    <col min="11" max="11" width="16" style="243" bestFit="1" customWidth="1"/>
    <col min="12" max="12" width="16.5" style="244" bestFit="1" customWidth="1"/>
    <col min="13" max="13" width="8" style="245"/>
    <col min="14" max="14" width="17.75" style="245" customWidth="1"/>
    <col min="15" max="17" width="8" style="246"/>
    <col min="18" max="18" width="13.625" style="246" customWidth="1"/>
    <col min="19" max="16384" width="8" style="246"/>
  </cols>
  <sheetData>
    <row r="1" spans="1:18" ht="15">
      <c r="A1" s="1290" t="str">
        <f>'Ten '!A10</f>
        <v>C«ng ty Cæ phÇn §Çu t­ &amp; Th­¬ng m¹i DÇu KhÝ S«ng §µ</v>
      </c>
    </row>
    <row r="2" spans="1:18" s="167" customFormat="1" ht="15.75">
      <c r="A2" s="1170" t="str">
        <f>'Ten '!A11</f>
        <v>§Þa chØ: TÇng 4, CT3, tßa nhµ Fodacon, ®­êng TrÇn Phó</v>
      </c>
      <c r="B2" s="163"/>
      <c r="C2" s="164"/>
      <c r="D2" s="165"/>
      <c r="E2" s="166"/>
      <c r="F2" s="165"/>
      <c r="I2" s="1551" t="s">
        <v>654</v>
      </c>
      <c r="J2" s="163"/>
      <c r="K2" s="168"/>
      <c r="L2" s="169"/>
      <c r="M2" s="170"/>
      <c r="N2" s="170"/>
    </row>
    <row r="3" spans="1:18" s="167" customFormat="1" ht="15" customHeight="1">
      <c r="A3" s="1170" t="s">
        <v>887</v>
      </c>
      <c r="B3" s="171"/>
      <c r="C3" s="171"/>
      <c r="D3" s="172"/>
      <c r="E3" s="173"/>
      <c r="F3" s="165"/>
      <c r="I3" s="1552" t="s">
        <v>1381</v>
      </c>
      <c r="J3" s="1172"/>
      <c r="K3" s="1172"/>
      <c r="L3" s="1172"/>
      <c r="M3" s="1172"/>
      <c r="N3" s="1172"/>
      <c r="O3" s="1172"/>
      <c r="P3" s="1172"/>
      <c r="Q3" s="176"/>
      <c r="R3" s="176"/>
    </row>
    <row r="4" spans="1:18" s="1132" customFormat="1" ht="6.75" customHeight="1">
      <c r="A4" s="1128"/>
      <c r="B4" s="1171"/>
      <c r="C4" s="1171"/>
      <c r="D4" s="1171"/>
      <c r="E4" s="1171"/>
      <c r="F4" s="1171"/>
      <c r="G4" s="1171"/>
      <c r="H4" s="1171"/>
      <c r="I4" s="1171"/>
      <c r="J4" s="359"/>
      <c r="K4" s="1129"/>
      <c r="L4" s="1130"/>
      <c r="M4" s="1131"/>
      <c r="N4" s="1131"/>
    </row>
    <row r="5" spans="1:18" s="167" customFormat="1" ht="3" customHeight="1">
      <c r="D5" s="174"/>
      <c r="I5" s="175"/>
      <c r="J5" s="176"/>
      <c r="K5" s="177"/>
      <c r="L5" s="169"/>
      <c r="M5" s="170"/>
      <c r="N5" s="170"/>
    </row>
    <row r="6" spans="1:18" s="182" customFormat="1" ht="23.25" customHeight="1">
      <c r="A6" s="1663" t="s">
        <v>456</v>
      </c>
      <c r="B6" s="1664"/>
      <c r="C6" s="1663"/>
      <c r="D6" s="1663"/>
      <c r="E6" s="1663"/>
      <c r="F6" s="1663"/>
      <c r="G6" s="1663"/>
      <c r="H6" s="1663"/>
      <c r="I6" s="1663"/>
      <c r="J6" s="178"/>
      <c r="K6" s="179"/>
      <c r="L6" s="180"/>
      <c r="M6" s="181"/>
      <c r="N6" s="181"/>
      <c r="R6" s="183"/>
    </row>
    <row r="7" spans="1:18" s="182" customFormat="1" ht="15">
      <c r="A7" s="1599" t="s">
        <v>708</v>
      </c>
      <c r="B7" s="1599"/>
      <c r="C7" s="1599"/>
      <c r="D7" s="1599"/>
      <c r="E7" s="1599"/>
      <c r="F7" s="1599"/>
      <c r="G7" s="1599"/>
      <c r="H7" s="1599"/>
      <c r="I7" s="1599"/>
      <c r="J7" s="184"/>
      <c r="K7" s="185"/>
      <c r="L7" s="180"/>
      <c r="M7" s="181"/>
      <c r="N7" s="181"/>
      <c r="R7" s="183"/>
    </row>
    <row r="8" spans="1:18" s="182" customFormat="1">
      <c r="A8" s="1665" t="s">
        <v>1442</v>
      </c>
      <c r="B8" s="1666"/>
      <c r="C8" s="1666"/>
      <c r="D8" s="1666"/>
      <c r="E8" s="1666"/>
      <c r="F8" s="1666"/>
      <c r="G8" s="1666"/>
      <c r="H8" s="1666"/>
      <c r="I8" s="1666"/>
      <c r="J8" s="184"/>
      <c r="K8" s="185"/>
      <c r="L8" s="180"/>
      <c r="M8" s="181"/>
      <c r="N8" s="181"/>
      <c r="R8" s="183"/>
    </row>
    <row r="9" spans="1:18" s="167" customFormat="1" ht="16.5" customHeight="1">
      <c r="D9" s="174"/>
      <c r="I9" s="1104" t="s">
        <v>971</v>
      </c>
      <c r="J9" s="176"/>
      <c r="K9" s="177"/>
      <c r="L9" s="169"/>
      <c r="M9" s="170"/>
      <c r="N9" s="170"/>
    </row>
    <row r="10" spans="1:18" s="191" customFormat="1" ht="21" customHeight="1">
      <c r="A10" s="1661" t="s">
        <v>712</v>
      </c>
      <c r="B10" s="186"/>
      <c r="C10" s="187"/>
      <c r="D10" s="1661" t="s">
        <v>259</v>
      </c>
      <c r="E10" s="187"/>
      <c r="F10" s="186" t="s">
        <v>260</v>
      </c>
      <c r="G10" s="1667" t="s">
        <v>1374</v>
      </c>
      <c r="H10" s="1118"/>
      <c r="I10" s="1667" t="s">
        <v>923</v>
      </c>
      <c r="J10" s="187"/>
      <c r="K10" s="188"/>
      <c r="L10" s="189"/>
      <c r="M10" s="190"/>
      <c r="N10" s="190"/>
    </row>
    <row r="11" spans="1:18" s="191" customFormat="1" ht="15.75" customHeight="1">
      <c r="A11" s="1662"/>
      <c r="B11" s="186"/>
      <c r="C11" s="187"/>
      <c r="D11" s="1662"/>
      <c r="E11" s="187"/>
      <c r="F11" s="186"/>
      <c r="G11" s="1668"/>
      <c r="H11" s="1119"/>
      <c r="I11" s="1668"/>
      <c r="J11" s="187"/>
      <c r="K11" s="188"/>
      <c r="L11" s="189"/>
      <c r="M11" s="190"/>
      <c r="N11" s="190"/>
    </row>
    <row r="12" spans="1:18" s="198" customFormat="1" ht="15.75" customHeight="1">
      <c r="A12" s="192">
        <v>1</v>
      </c>
      <c r="B12" s="1369" t="s">
        <v>1243</v>
      </c>
      <c r="C12" s="193"/>
      <c r="D12" s="192">
        <v>2</v>
      </c>
      <c r="E12" s="193"/>
      <c r="F12" s="192">
        <v>3</v>
      </c>
      <c r="G12" s="194" t="s">
        <v>1498</v>
      </c>
      <c r="H12" s="194"/>
      <c r="I12" s="249">
        <v>4</v>
      </c>
      <c r="J12" s="193"/>
      <c r="K12" s="195">
        <v>1111</v>
      </c>
      <c r="L12" s="196">
        <v>1121</v>
      </c>
      <c r="M12" s="197"/>
      <c r="N12" s="197"/>
    </row>
    <row r="13" spans="1:18" s="167" customFormat="1" ht="18" customHeight="1">
      <c r="A13" s="201" t="s">
        <v>714</v>
      </c>
      <c r="B13" s="1375" t="s">
        <v>1244</v>
      </c>
      <c r="C13" s="202"/>
      <c r="D13" s="172"/>
      <c r="E13" s="202"/>
      <c r="F13" s="176"/>
      <c r="G13" s="202"/>
      <c r="H13" s="202"/>
      <c r="I13" s="203"/>
      <c r="J13" s="202"/>
      <c r="K13" s="177"/>
      <c r="L13" s="169"/>
      <c r="M13" s="170"/>
      <c r="N13" s="170"/>
    </row>
    <row r="14" spans="1:18" s="167" customFormat="1" ht="16.5" customHeight="1">
      <c r="A14" s="204" t="s">
        <v>715</v>
      </c>
      <c r="B14" s="205"/>
      <c r="C14" s="205"/>
      <c r="D14" s="206" t="s">
        <v>703</v>
      </c>
      <c r="E14" s="205"/>
      <c r="F14" s="176"/>
      <c r="G14" s="1425">
        <v>203714542976</v>
      </c>
      <c r="H14" s="205"/>
      <c r="I14" s="1425">
        <v>290544711527</v>
      </c>
      <c r="J14" s="205"/>
      <c r="K14" s="207"/>
      <c r="L14" s="169"/>
      <c r="M14" s="170"/>
      <c r="N14" s="170"/>
    </row>
    <row r="15" spans="1:18" s="167" customFormat="1" ht="16.5" customHeight="1">
      <c r="A15" s="208" t="s">
        <v>1497</v>
      </c>
      <c r="B15" s="209"/>
      <c r="C15" s="205"/>
      <c r="D15" s="206" t="s">
        <v>656</v>
      </c>
      <c r="E15" s="205"/>
      <c r="F15" s="176"/>
      <c r="G15" s="1426">
        <f>-228493112746+800000000</f>
        <v>-227693112746</v>
      </c>
      <c r="H15" s="210"/>
      <c r="I15" s="1426">
        <v>-101908790809</v>
      </c>
      <c r="J15" s="205"/>
      <c r="K15" s="177"/>
      <c r="L15" s="169"/>
      <c r="M15" s="170"/>
      <c r="N15" s="170"/>
    </row>
    <row r="16" spans="1:18" s="167" customFormat="1" ht="16.5" customHeight="1">
      <c r="A16" s="204" t="s">
        <v>716</v>
      </c>
      <c r="B16" s="205"/>
      <c r="C16" s="205"/>
      <c r="D16" s="206" t="s">
        <v>657</v>
      </c>
      <c r="E16" s="205"/>
      <c r="F16" s="176"/>
      <c r="G16" s="1426">
        <v>-112172325</v>
      </c>
      <c r="H16" s="210"/>
      <c r="I16" s="1426">
        <v>-4651741882</v>
      </c>
      <c r="J16" s="205"/>
      <c r="K16" s="177"/>
      <c r="L16" s="169"/>
      <c r="M16" s="170"/>
      <c r="N16" s="283"/>
      <c r="O16" s="284"/>
    </row>
    <row r="17" spans="1:15" s="167" customFormat="1" ht="16.5" customHeight="1">
      <c r="A17" s="204" t="s">
        <v>717</v>
      </c>
      <c r="B17" s="205"/>
      <c r="C17" s="205"/>
      <c r="D17" s="206" t="s">
        <v>1318</v>
      </c>
      <c r="E17" s="205"/>
      <c r="F17" s="176"/>
      <c r="G17" s="1426">
        <v>-12479041645</v>
      </c>
      <c r="H17" s="210"/>
      <c r="I17" s="1426">
        <v>-20114987411</v>
      </c>
      <c r="J17" s="205"/>
      <c r="K17" s="177"/>
      <c r="L17" s="169"/>
      <c r="M17" s="170"/>
      <c r="N17" s="283"/>
      <c r="O17" s="284"/>
    </row>
    <row r="18" spans="1:15" s="167" customFormat="1" ht="16.5" customHeight="1">
      <c r="A18" s="204" t="s">
        <v>238</v>
      </c>
      <c r="B18" s="205"/>
      <c r="C18" s="205"/>
      <c r="D18" s="206" t="s">
        <v>1319</v>
      </c>
      <c r="E18" s="205"/>
      <c r="F18" s="176"/>
      <c r="G18" s="1426">
        <v>0</v>
      </c>
      <c r="H18" s="210"/>
      <c r="I18" s="1426">
        <v>-290945296</v>
      </c>
      <c r="J18" s="205"/>
      <c r="K18" s="177"/>
      <c r="L18" s="169"/>
      <c r="M18" s="170"/>
      <c r="N18" s="283"/>
      <c r="O18" s="284"/>
    </row>
    <row r="19" spans="1:15" s="167" customFormat="1" ht="16.5" customHeight="1">
      <c r="A19" s="204" t="s">
        <v>718</v>
      </c>
      <c r="B19" s="205"/>
      <c r="C19" s="205"/>
      <c r="D19" s="206" t="s">
        <v>1320</v>
      </c>
      <c r="E19" s="205"/>
      <c r="F19" s="176"/>
      <c r="G19" s="1426">
        <v>187392839018</v>
      </c>
      <c r="H19" s="210"/>
      <c r="I19" s="1426">
        <v>350639802406</v>
      </c>
      <c r="J19" s="205"/>
      <c r="K19" s="211"/>
      <c r="L19" s="169"/>
      <c r="M19" s="170"/>
      <c r="N19" s="283"/>
      <c r="O19" s="284"/>
    </row>
    <row r="20" spans="1:15" s="167" customFormat="1" ht="16.5" customHeight="1">
      <c r="A20" s="204" t="s">
        <v>719</v>
      </c>
      <c r="B20" s="205"/>
      <c r="C20" s="205"/>
      <c r="D20" s="206" t="s">
        <v>661</v>
      </c>
      <c r="E20" s="205"/>
      <c r="F20" s="176"/>
      <c r="G20" s="1426">
        <v>-128738366631</v>
      </c>
      <c r="H20" s="210"/>
      <c r="I20" s="1426">
        <v>-300401715909</v>
      </c>
      <c r="J20" s="205"/>
      <c r="K20" s="177"/>
      <c r="L20" s="169"/>
      <c r="M20" s="170"/>
      <c r="N20" s="283"/>
      <c r="O20" s="284"/>
    </row>
    <row r="21" spans="1:15" s="219" customFormat="1" ht="18" customHeight="1">
      <c r="A21" s="212" t="s">
        <v>720</v>
      </c>
      <c r="B21" s="213"/>
      <c r="C21" s="213"/>
      <c r="D21" s="214">
        <v>20</v>
      </c>
      <c r="E21" s="213"/>
      <c r="F21" s="215"/>
      <c r="G21" s="1427">
        <f>SUM(G14:G20)</f>
        <v>22084688647</v>
      </c>
      <c r="H21" s="251"/>
      <c r="I21" s="251">
        <f>SUM(I14:I20)</f>
        <v>213816332626</v>
      </c>
      <c r="J21" s="213"/>
      <c r="K21" s="216"/>
      <c r="L21" s="217"/>
      <c r="M21" s="218"/>
      <c r="N21" s="285"/>
      <c r="O21" s="286"/>
    </row>
    <row r="22" spans="1:15" s="219" customFormat="1" ht="2.25" customHeight="1">
      <c r="A22" s="212"/>
      <c r="B22" s="213"/>
      <c r="C22" s="213"/>
      <c r="D22" s="214"/>
      <c r="E22" s="213"/>
      <c r="F22" s="215"/>
      <c r="G22" s="1428"/>
      <c r="H22" s="213"/>
      <c r="I22" s="251"/>
      <c r="J22" s="213"/>
      <c r="K22" s="216"/>
      <c r="L22" s="217"/>
      <c r="M22" s="218"/>
      <c r="N22" s="285"/>
      <c r="O22" s="286"/>
    </row>
    <row r="23" spans="1:15" s="167" customFormat="1" ht="18" customHeight="1">
      <c r="A23" s="201" t="s">
        <v>726</v>
      </c>
      <c r="B23" s="202"/>
      <c r="C23" s="202"/>
      <c r="D23" s="199"/>
      <c r="E23" s="202"/>
      <c r="F23" s="176"/>
      <c r="G23" s="1429"/>
      <c r="H23" s="202"/>
      <c r="I23" s="250"/>
      <c r="J23" s="202"/>
      <c r="K23" s="177"/>
      <c r="L23" s="169"/>
      <c r="M23" s="170"/>
      <c r="N23" s="283"/>
      <c r="O23" s="284"/>
    </row>
    <row r="24" spans="1:15" s="225" customFormat="1" ht="16.5" customHeight="1">
      <c r="A24" s="204" t="s">
        <v>728</v>
      </c>
      <c r="B24" s="205"/>
      <c r="C24" s="205"/>
      <c r="D24" s="220">
        <v>21</v>
      </c>
      <c r="E24" s="205"/>
      <c r="F24" s="221" t="s">
        <v>1321</v>
      </c>
      <c r="G24" s="1426">
        <v>0</v>
      </c>
      <c r="H24" s="210"/>
      <c r="I24" s="1426">
        <v>-1200000</v>
      </c>
      <c r="J24" s="205"/>
      <c r="K24" s="222"/>
      <c r="L24" s="223"/>
      <c r="M24" s="224"/>
      <c r="N24" s="287"/>
      <c r="O24" s="288"/>
    </row>
    <row r="25" spans="1:15" s="167" customFormat="1">
      <c r="A25" s="204" t="s">
        <v>727</v>
      </c>
      <c r="B25" s="205"/>
      <c r="C25" s="205"/>
      <c r="D25" s="220">
        <v>22</v>
      </c>
      <c r="E25" s="205"/>
      <c r="F25" s="176"/>
      <c r="G25" s="1426">
        <v>9000000</v>
      </c>
      <c r="H25" s="210"/>
      <c r="I25" s="1426">
        <v>0</v>
      </c>
      <c r="J25" s="205"/>
      <c r="K25" s="177"/>
      <c r="L25" s="169"/>
      <c r="M25" s="170"/>
      <c r="N25" s="283"/>
      <c r="O25" s="284"/>
    </row>
    <row r="26" spans="1:15" s="167" customFormat="1">
      <c r="A26" s="204" t="s">
        <v>729</v>
      </c>
      <c r="B26" s="205"/>
      <c r="C26" s="205"/>
      <c r="D26" s="199">
        <v>23</v>
      </c>
      <c r="E26" s="205"/>
      <c r="F26" s="176"/>
      <c r="G26" s="1426">
        <v>0</v>
      </c>
      <c r="H26" s="210"/>
      <c r="I26" s="1426">
        <v>0</v>
      </c>
      <c r="J26" s="205"/>
      <c r="K26" s="177"/>
      <c r="L26" s="169"/>
      <c r="M26" s="170"/>
      <c r="N26" s="170"/>
    </row>
    <row r="27" spans="1:15" s="167" customFormat="1" ht="16.5" customHeight="1">
      <c r="A27" s="204" t="s">
        <v>730</v>
      </c>
      <c r="B27" s="205"/>
      <c r="C27" s="205"/>
      <c r="D27" s="199">
        <v>24</v>
      </c>
      <c r="E27" s="205"/>
      <c r="F27" s="176"/>
      <c r="G27" s="1426">
        <v>0</v>
      </c>
      <c r="H27" s="210"/>
      <c r="I27" s="1426">
        <v>0</v>
      </c>
      <c r="J27" s="205"/>
      <c r="K27" s="226"/>
      <c r="L27" s="169"/>
      <c r="M27" s="170"/>
      <c r="N27" s="170"/>
    </row>
    <row r="28" spans="1:15" s="167" customFormat="1" ht="16.5" customHeight="1">
      <c r="A28" s="204" t="s">
        <v>731</v>
      </c>
      <c r="B28" s="205"/>
      <c r="C28" s="205"/>
      <c r="D28" s="199">
        <v>25</v>
      </c>
      <c r="E28" s="205"/>
      <c r="F28" s="176"/>
      <c r="G28" s="1426">
        <v>0</v>
      </c>
      <c r="H28" s="210"/>
      <c r="I28" s="1426">
        <v>0</v>
      </c>
      <c r="J28" s="205"/>
      <c r="K28" s="227"/>
      <c r="L28" s="169"/>
      <c r="M28" s="170"/>
      <c r="N28" s="170"/>
    </row>
    <row r="29" spans="1:15" s="167" customFormat="1" ht="16.5" customHeight="1">
      <c r="A29" s="204" t="s">
        <v>732</v>
      </c>
      <c r="B29" s="205"/>
      <c r="C29" s="205"/>
      <c r="D29" s="199">
        <v>26</v>
      </c>
      <c r="E29" s="205"/>
      <c r="F29" s="176"/>
      <c r="G29" s="1426">
        <v>0</v>
      </c>
      <c r="H29" s="210"/>
      <c r="I29" s="1426">
        <v>0</v>
      </c>
      <c r="J29" s="205"/>
      <c r="K29" s="177"/>
      <c r="L29" s="169"/>
      <c r="M29" s="170"/>
      <c r="N29" s="170"/>
    </row>
    <row r="30" spans="1:15" s="167" customFormat="1" ht="16.5" customHeight="1">
      <c r="A30" s="204" t="s">
        <v>733</v>
      </c>
      <c r="B30" s="205"/>
      <c r="C30" s="205"/>
      <c r="D30" s="199">
        <v>27</v>
      </c>
      <c r="E30" s="205"/>
      <c r="F30" s="176"/>
      <c r="G30" s="1425">
        <v>164217322</v>
      </c>
      <c r="H30" s="205"/>
      <c r="I30" s="1425">
        <v>2143650374</v>
      </c>
      <c r="J30" s="205"/>
      <c r="K30" s="228"/>
      <c r="L30" s="169"/>
      <c r="M30" s="170"/>
      <c r="N30" s="170"/>
    </row>
    <row r="31" spans="1:15" s="219" customFormat="1" ht="18" customHeight="1">
      <c r="A31" s="212" t="s">
        <v>709</v>
      </c>
      <c r="B31" s="213"/>
      <c r="C31" s="213"/>
      <c r="D31" s="214">
        <v>30</v>
      </c>
      <c r="E31" s="213"/>
      <c r="F31" s="215"/>
      <c r="G31" s="1427">
        <f>SUM(G24:G30)</f>
        <v>173217322</v>
      </c>
      <c r="H31" s="251"/>
      <c r="I31" s="251">
        <f>SUM(I24:I30)</f>
        <v>2142450374</v>
      </c>
      <c r="J31" s="213"/>
      <c r="K31" s="216"/>
      <c r="L31" s="217"/>
      <c r="M31" s="218"/>
      <c r="N31" s="218"/>
    </row>
    <row r="32" spans="1:15" s="219" customFormat="1" ht="5.25" hidden="1" customHeight="1">
      <c r="A32" s="212"/>
      <c r="B32" s="213"/>
      <c r="C32" s="213"/>
      <c r="D32" s="214"/>
      <c r="E32" s="213"/>
      <c r="F32" s="215"/>
      <c r="G32" s="1428"/>
      <c r="H32" s="213"/>
      <c r="I32" s="251"/>
      <c r="J32" s="213"/>
      <c r="K32" s="216"/>
      <c r="L32" s="217"/>
      <c r="M32" s="218"/>
      <c r="N32" s="218"/>
    </row>
    <row r="33" spans="1:14" s="167" customFormat="1" ht="18" customHeight="1">
      <c r="A33" s="201" t="s">
        <v>734</v>
      </c>
      <c r="B33" s="202"/>
      <c r="C33" s="202"/>
      <c r="D33" s="199"/>
      <c r="E33" s="202"/>
      <c r="F33" s="176"/>
      <c r="G33" s="1429"/>
      <c r="H33" s="202"/>
      <c r="I33" s="250"/>
      <c r="J33" s="202"/>
      <c r="K33" s="177"/>
      <c r="L33" s="169"/>
      <c r="M33" s="170"/>
      <c r="N33" s="170"/>
    </row>
    <row r="34" spans="1:14" s="167" customFormat="1" ht="16.5" customHeight="1">
      <c r="A34" s="204" t="s">
        <v>735</v>
      </c>
      <c r="B34" s="205"/>
      <c r="C34" s="205"/>
      <c r="D34" s="199">
        <v>31</v>
      </c>
      <c r="E34" s="205"/>
      <c r="F34" s="199">
        <v>21</v>
      </c>
      <c r="G34" s="1425">
        <v>0</v>
      </c>
      <c r="H34" s="205"/>
      <c r="I34" s="1425">
        <v>0</v>
      </c>
      <c r="J34" s="205"/>
      <c r="K34" s="177"/>
      <c r="L34" s="169"/>
      <c r="M34" s="170"/>
      <c r="N34" s="170"/>
    </row>
    <row r="35" spans="1:14" s="167" customFormat="1" ht="16.5" customHeight="1">
      <c r="A35" s="204" t="s">
        <v>1530</v>
      </c>
      <c r="B35" s="205"/>
      <c r="C35" s="205"/>
      <c r="D35" s="199">
        <v>32</v>
      </c>
      <c r="E35" s="205"/>
      <c r="F35" s="199">
        <v>21</v>
      </c>
      <c r="G35" s="1426">
        <v>0</v>
      </c>
      <c r="H35" s="210"/>
      <c r="I35" s="1426">
        <v>0</v>
      </c>
      <c r="J35" s="205"/>
      <c r="K35" s="177"/>
      <c r="L35" s="169"/>
      <c r="M35" s="170"/>
      <c r="N35" s="170"/>
    </row>
    <row r="36" spans="1:14" s="167" customFormat="1" ht="16.5" customHeight="1">
      <c r="A36" s="204" t="s">
        <v>736</v>
      </c>
      <c r="B36" s="205"/>
      <c r="C36" s="205"/>
      <c r="D36" s="199">
        <v>33</v>
      </c>
      <c r="E36" s="205"/>
      <c r="F36" s="199"/>
      <c r="G36" s="1426">
        <f>193777844452-800000000</f>
        <v>192977844452</v>
      </c>
      <c r="H36" s="210"/>
      <c r="I36" s="1426">
        <v>0</v>
      </c>
      <c r="J36" s="205"/>
      <c r="K36" s="229"/>
      <c r="L36" s="169"/>
      <c r="M36" s="170"/>
      <c r="N36" s="170"/>
    </row>
    <row r="37" spans="1:14" s="167" customFormat="1" ht="16.5" customHeight="1">
      <c r="A37" s="204" t="s">
        <v>737</v>
      </c>
      <c r="B37" s="205"/>
      <c r="C37" s="205"/>
      <c r="D37" s="199">
        <v>34</v>
      </c>
      <c r="E37" s="205"/>
      <c r="F37" s="199"/>
      <c r="G37" s="1426">
        <v>-214169713032</v>
      </c>
      <c r="H37" s="210"/>
      <c r="I37" s="1426">
        <v>-255963543349</v>
      </c>
      <c r="J37" s="205"/>
      <c r="K37" s="177"/>
      <c r="L37" s="169"/>
      <c r="M37" s="170"/>
      <c r="N37" s="170">
        <f>G40+L38</f>
        <v>0</v>
      </c>
    </row>
    <row r="38" spans="1:14" s="167" customFormat="1" ht="15" customHeight="1">
      <c r="A38" s="204" t="s">
        <v>738</v>
      </c>
      <c r="B38" s="205"/>
      <c r="C38" s="205"/>
      <c r="D38" s="199">
        <v>35</v>
      </c>
      <c r="E38" s="205"/>
      <c r="F38" s="199"/>
      <c r="G38" s="1426">
        <v>0</v>
      </c>
      <c r="H38" s="210"/>
      <c r="I38" s="1426">
        <v>0</v>
      </c>
      <c r="J38" s="205"/>
      <c r="K38" s="177"/>
      <c r="L38" s="1571">
        <v>21191868580</v>
      </c>
      <c r="M38" s="170"/>
      <c r="N38" s="170"/>
    </row>
    <row r="39" spans="1:14" s="167" customFormat="1" ht="16.5" customHeight="1">
      <c r="A39" s="204" t="s">
        <v>739</v>
      </c>
      <c r="B39" s="205"/>
      <c r="C39" s="205"/>
      <c r="D39" s="199">
        <v>36</v>
      </c>
      <c r="E39" s="205"/>
      <c r="F39" s="199">
        <v>21</v>
      </c>
      <c r="G39" s="1426">
        <v>0</v>
      </c>
      <c r="H39" s="210"/>
      <c r="I39" s="1426">
        <v>0</v>
      </c>
      <c r="J39" s="205"/>
      <c r="K39" s="177"/>
      <c r="L39" s="169"/>
      <c r="M39" s="170"/>
      <c r="N39" s="170"/>
    </row>
    <row r="40" spans="1:14" s="219" customFormat="1" ht="18" customHeight="1">
      <c r="A40" s="212" t="s">
        <v>710</v>
      </c>
      <c r="B40" s="213"/>
      <c r="C40" s="213"/>
      <c r="D40" s="214">
        <v>40</v>
      </c>
      <c r="E40" s="213"/>
      <c r="F40" s="230"/>
      <c r="G40" s="1427">
        <f>SUM(G34:G39)</f>
        <v>-21191868580</v>
      </c>
      <c r="H40" s="251"/>
      <c r="I40" s="251">
        <f>SUM(I34:I39)</f>
        <v>-255963543349</v>
      </c>
      <c r="J40" s="213"/>
      <c r="K40" s="216"/>
      <c r="L40" s="217"/>
      <c r="M40" s="218"/>
      <c r="N40" s="218"/>
    </row>
    <row r="41" spans="1:14" s="219" customFormat="1" ht="0.75" customHeight="1">
      <c r="A41" s="212"/>
      <c r="B41" s="213"/>
      <c r="C41" s="213"/>
      <c r="D41" s="214"/>
      <c r="E41" s="213"/>
      <c r="F41" s="230"/>
      <c r="G41" s="1428"/>
      <c r="H41" s="213"/>
      <c r="I41" s="251"/>
      <c r="J41" s="213"/>
      <c r="K41" s="216"/>
      <c r="L41" s="217"/>
      <c r="M41" s="218"/>
      <c r="N41" s="218"/>
    </row>
    <row r="42" spans="1:14" s="198" customFormat="1" ht="17.25" customHeight="1">
      <c r="A42" s="201" t="s">
        <v>711</v>
      </c>
      <c r="B42" s="202"/>
      <c r="C42" s="202"/>
      <c r="D42" s="193">
        <v>50</v>
      </c>
      <c r="E42" s="202"/>
      <c r="F42" s="199"/>
      <c r="G42" s="1430">
        <f>G40+G31+G21</f>
        <v>1066037389</v>
      </c>
      <c r="H42" s="252"/>
      <c r="I42" s="252">
        <f>I40+I31+I21</f>
        <v>-40004760349</v>
      </c>
      <c r="J42" s="202"/>
      <c r="K42" s="231">
        <f>SUM(K13:K40)</f>
        <v>0</v>
      </c>
      <c r="L42" s="231">
        <f>SUM(L13:L40)</f>
        <v>21191868580</v>
      </c>
      <c r="M42" s="197"/>
      <c r="N42" s="197"/>
    </row>
    <row r="43" spans="1:14" s="198" customFormat="1" ht="17.25" customHeight="1">
      <c r="A43" s="201" t="s">
        <v>740</v>
      </c>
      <c r="B43" s="202"/>
      <c r="C43" s="202"/>
      <c r="D43" s="193">
        <v>60</v>
      </c>
      <c r="E43" s="202"/>
      <c r="F43" s="199"/>
      <c r="G43" s="252">
        <f>BS!N13</f>
        <v>27588106737</v>
      </c>
      <c r="H43" s="252"/>
      <c r="I43" s="252">
        <v>80670577841</v>
      </c>
      <c r="J43" s="202"/>
      <c r="K43" s="231"/>
      <c r="L43" s="196"/>
      <c r="M43" s="197"/>
      <c r="N43" s="197"/>
    </row>
    <row r="44" spans="1:14" s="167" customFormat="1" ht="17.25" customHeight="1">
      <c r="A44" s="204" t="s">
        <v>741</v>
      </c>
      <c r="B44" s="205"/>
      <c r="C44" s="205"/>
      <c r="D44" s="199">
        <v>61</v>
      </c>
      <c r="E44" s="205"/>
      <c r="F44" s="199"/>
      <c r="G44" s="205"/>
      <c r="H44" s="205"/>
      <c r="I44" s="250"/>
      <c r="J44" s="205"/>
      <c r="K44" s="177"/>
      <c r="L44" s="169"/>
      <c r="M44" s="170"/>
      <c r="N44" s="170"/>
    </row>
    <row r="45" spans="1:14" s="198" customFormat="1" ht="17.25" customHeight="1">
      <c r="A45" s="201" t="s">
        <v>1317</v>
      </c>
      <c r="B45" s="202"/>
      <c r="C45" s="202"/>
      <c r="D45" s="193">
        <v>70</v>
      </c>
      <c r="E45" s="202"/>
      <c r="F45" s="199">
        <v>29</v>
      </c>
      <c r="G45" s="252">
        <f>G43+G42+G44</f>
        <v>28654144126</v>
      </c>
      <c r="H45" s="252"/>
      <c r="I45" s="252">
        <f>I43+I42+I44</f>
        <v>40665817492</v>
      </c>
      <c r="J45" s="202"/>
      <c r="K45" s="231">
        <f>G45-BS!L13</f>
        <v>0</v>
      </c>
      <c r="L45" s="196"/>
      <c r="M45" s="197"/>
      <c r="N45" s="197"/>
    </row>
    <row r="46" spans="1:14" s="167" customFormat="1" ht="5.25" customHeight="1">
      <c r="D46" s="174"/>
      <c r="F46" s="232"/>
      <c r="I46" s="233"/>
      <c r="J46" s="176"/>
      <c r="K46" s="177"/>
      <c r="L46" s="169"/>
      <c r="M46" s="170"/>
      <c r="N46" s="170"/>
    </row>
    <row r="47" spans="1:14" s="198" customFormat="1" ht="15.75" customHeight="1">
      <c r="B47" s="1646" t="str">
        <f>'Ten '!A19</f>
        <v>Hµ Néi, ngµy 30 th¸ng 07 n¨m 2013</v>
      </c>
      <c r="C47" s="1646"/>
      <c r="D47" s="1646"/>
      <c r="E47" s="1646"/>
      <c r="F47" s="1646"/>
      <c r="G47" s="1646"/>
      <c r="H47" s="1646"/>
      <c r="I47" s="1646"/>
      <c r="J47" s="234"/>
      <c r="K47" s="235"/>
      <c r="L47" s="196"/>
      <c r="M47" s="197"/>
      <c r="N47" s="197"/>
    </row>
    <row r="48" spans="1:14" s="167" customFormat="1" ht="15.75" customHeight="1">
      <c r="A48" s="1561" t="s">
        <v>284</v>
      </c>
      <c r="B48" s="236"/>
      <c r="C48" s="236"/>
      <c r="D48" s="1660" t="str">
        <f>PI!N38</f>
        <v>Tæng Gi¸m ®èc</v>
      </c>
      <c r="E48" s="1660"/>
      <c r="F48" s="1660"/>
      <c r="G48" s="1660"/>
      <c r="H48" s="1660"/>
      <c r="I48" s="1660"/>
      <c r="J48" s="237"/>
      <c r="K48" s="195"/>
      <c r="L48" s="169"/>
      <c r="M48" s="170"/>
      <c r="N48" s="170"/>
    </row>
    <row r="49" spans="1:14" s="167" customFormat="1">
      <c r="A49" s="174"/>
      <c r="B49" s="174"/>
      <c r="D49" s="174"/>
      <c r="F49" s="174"/>
      <c r="I49" s="238"/>
      <c r="J49" s="176"/>
      <c r="K49" s="177"/>
      <c r="L49" s="169"/>
      <c r="M49" s="170"/>
      <c r="N49" s="170"/>
    </row>
    <row r="50" spans="1:14" s="167" customFormat="1">
      <c r="A50" s="174"/>
      <c r="B50" s="174"/>
      <c r="D50" s="174"/>
      <c r="F50" s="174"/>
      <c r="I50" s="238"/>
      <c r="J50" s="176"/>
      <c r="K50" s="177"/>
      <c r="L50" s="169"/>
      <c r="M50" s="170"/>
      <c r="N50" s="170"/>
    </row>
    <row r="51" spans="1:14" s="167" customFormat="1">
      <c r="A51" s="174"/>
      <c r="B51" s="174"/>
      <c r="D51" s="174"/>
      <c r="F51" s="174"/>
      <c r="I51" s="238"/>
      <c r="J51" s="176"/>
      <c r="K51" s="177"/>
      <c r="L51" s="169"/>
      <c r="M51" s="170"/>
      <c r="N51" s="170"/>
    </row>
    <row r="52" spans="1:14" s="167" customFormat="1">
      <c r="A52" s="174"/>
      <c r="B52" s="174"/>
      <c r="D52" s="174"/>
      <c r="F52" s="174"/>
      <c r="I52" s="238"/>
      <c r="J52" s="176"/>
      <c r="K52" s="177"/>
      <c r="L52" s="169"/>
      <c r="M52" s="170"/>
      <c r="N52" s="170"/>
    </row>
    <row r="53" spans="1:14" s="167" customFormat="1" ht="18" customHeight="1">
      <c r="A53" s="172"/>
      <c r="B53" s="172"/>
      <c r="C53" s="176"/>
      <c r="D53" s="172"/>
      <c r="E53" s="176"/>
      <c r="F53" s="172"/>
      <c r="G53" s="176"/>
      <c r="H53" s="176"/>
      <c r="I53" s="200"/>
      <c r="J53" s="176"/>
      <c r="K53" s="177"/>
      <c r="L53" s="169"/>
      <c r="M53" s="170"/>
      <c r="N53" s="170"/>
    </row>
    <row r="54" spans="1:14" s="198" customFormat="1" ht="20.25" customHeight="1">
      <c r="A54" s="1562" t="s">
        <v>921</v>
      </c>
      <c r="B54" s="239"/>
      <c r="C54" s="239"/>
      <c r="D54" s="1659" t="str">
        <f>'Ten '!B15</f>
        <v>Hoµng V¨n To¶n</v>
      </c>
      <c r="E54" s="1659"/>
      <c r="F54" s="1659"/>
      <c r="G54" s="1659"/>
      <c r="H54" s="1659"/>
      <c r="I54" s="1659"/>
      <c r="J54" s="237"/>
      <c r="K54" s="195"/>
      <c r="L54" s="196"/>
      <c r="M54" s="197"/>
      <c r="N54" s="197"/>
    </row>
    <row r="55" spans="1:14">
      <c r="A55" s="240"/>
      <c r="B55" s="240"/>
      <c r="C55" s="240"/>
      <c r="D55" s="241"/>
      <c r="E55" s="240"/>
      <c r="F55" s="240"/>
      <c r="G55" s="240"/>
      <c r="H55" s="240"/>
      <c r="I55" s="242"/>
    </row>
    <row r="56" spans="1:14">
      <c r="A56" s="240"/>
      <c r="B56" s="240"/>
      <c r="C56" s="240"/>
      <c r="D56" s="241"/>
      <c r="E56" s="240"/>
      <c r="F56" s="240"/>
      <c r="G56" s="240"/>
      <c r="H56" s="240"/>
      <c r="I56" s="242"/>
    </row>
    <row r="57" spans="1:14">
      <c r="A57" s="240"/>
      <c r="B57" s="240"/>
      <c r="C57" s="240"/>
      <c r="D57" s="241"/>
      <c r="E57" s="240"/>
      <c r="F57" s="240"/>
      <c r="G57" s="240"/>
      <c r="H57" s="240"/>
      <c r="I57" s="242"/>
    </row>
    <row r="58" spans="1:14">
      <c r="A58" s="240"/>
      <c r="B58" s="240"/>
      <c r="C58" s="240"/>
      <c r="D58" s="241"/>
      <c r="E58" s="240"/>
      <c r="F58" s="240"/>
      <c r="G58" s="240"/>
      <c r="H58" s="240"/>
      <c r="I58" s="242"/>
    </row>
  </sheetData>
  <mergeCells count="10">
    <mergeCell ref="D54:I54"/>
    <mergeCell ref="D48:I48"/>
    <mergeCell ref="B47:I47"/>
    <mergeCell ref="D10:D11"/>
    <mergeCell ref="A6:I6"/>
    <mergeCell ref="A7:I7"/>
    <mergeCell ref="A8:I8"/>
    <mergeCell ref="G10:G11"/>
    <mergeCell ref="I10:I11"/>
    <mergeCell ref="A10:A11"/>
  </mergeCells>
  <phoneticPr fontId="0" type="noConversion"/>
  <printOptions horizontalCentered="1"/>
  <pageMargins left="0.7" right="0.2" top="0.27" bottom="0.72" header="0.27" footer="0.3"/>
  <pageSetup paperSize="9" firstPageNumber="11" orientation="portrait" useFirstPageNumber="1" r:id="rId1"/>
  <headerFooter alignWithMargins="0">
    <oddFooter>&amp;C&amp;".VnTime,  Italic"&amp;11
&amp;P</oddFooter>
  </headerFooter>
</worksheet>
</file>

<file path=xl/worksheets/sheet44.xml><?xml version="1.0" encoding="utf-8"?>
<worksheet xmlns="http://schemas.openxmlformats.org/spreadsheetml/2006/main" xmlns:r="http://schemas.openxmlformats.org/officeDocument/2006/relationships">
  <sheetPr codeName="Sheet14" enableFormatConditionsCalculation="0">
    <tabColor indexed="14"/>
  </sheetPr>
  <dimension ref="A1:R471"/>
  <sheetViews>
    <sheetView view="pageBreakPreview" topLeftCell="A34" zoomScaleSheetLayoutView="100" workbookViewId="0">
      <selection activeCell="B87" sqref="B87:J87"/>
    </sheetView>
  </sheetViews>
  <sheetFormatPr defaultRowHeight="18" customHeight="1"/>
  <cols>
    <col min="1" max="1" width="4.25" style="647" customWidth="1"/>
    <col min="2" max="2" width="19.875" style="648" customWidth="1"/>
    <col min="3" max="3" width="4.5" style="634" customWidth="1"/>
    <col min="4" max="4" width="10.375" style="634" customWidth="1"/>
    <col min="5" max="5" width="1" style="634" customWidth="1"/>
    <col min="6" max="6" width="14.375" style="634" bestFit="1" customWidth="1"/>
    <col min="7" max="7" width="0.75" style="634" customWidth="1"/>
    <col min="8" max="8" width="15.625" style="599" customWidth="1"/>
    <col min="9" max="9" width="0.875" style="635" customWidth="1"/>
    <col min="10" max="10" width="15.875" style="635" customWidth="1"/>
    <col min="11" max="11" width="0.875" style="634" customWidth="1"/>
    <col min="12" max="12" width="15.75" style="636" bestFit="1" customWidth="1"/>
    <col min="13" max="13" width="0.625" style="637" customWidth="1"/>
    <col min="14" max="14" width="19.25" style="636" bestFit="1" customWidth="1"/>
    <col min="15" max="15" width="19.125" style="638" bestFit="1" customWidth="1"/>
    <col min="16" max="16" width="15.75" style="638" bestFit="1" customWidth="1"/>
    <col min="17" max="17" width="14.5" style="639" bestFit="1" customWidth="1"/>
    <col min="18" max="18" width="14.25" style="636" bestFit="1" customWidth="1"/>
    <col min="19" max="19" width="18.5" style="634" customWidth="1"/>
    <col min="20" max="16384" width="9" style="634"/>
  </cols>
  <sheetData>
    <row r="1" spans="1:18" s="843" customFormat="1" ht="19.5" customHeight="1">
      <c r="A1" s="1290" t="str">
        <f>BS!A1</f>
        <v>C«ng ty Cæ phÇn §Çu t­ &amp; Th­¬ng m¹i DÇu KhÝ S«ng §µ</v>
      </c>
      <c r="H1" s="844"/>
      <c r="I1" s="844"/>
      <c r="L1" s="845"/>
      <c r="M1" s="776"/>
      <c r="N1" s="845"/>
      <c r="O1" s="845"/>
      <c r="P1" s="845"/>
      <c r="Q1" s="776"/>
      <c r="R1" s="845"/>
    </row>
    <row r="2" spans="1:18" s="598" customFormat="1" ht="17.25" customHeight="1">
      <c r="A2" s="1170" t="str">
        <f>BS!A2</f>
        <v>§Þa chØ: TÇng 4, CT3, tßa nhµ Fodacon, ®­êng TrÇn Phó</v>
      </c>
      <c r="H2" s="599"/>
      <c r="I2" s="599"/>
      <c r="J2" s="1553" t="s">
        <v>1227</v>
      </c>
      <c r="L2" s="600"/>
      <c r="M2" s="601"/>
      <c r="N2" s="600"/>
      <c r="O2" s="600"/>
      <c r="P2" s="600"/>
      <c r="Q2" s="601"/>
      <c r="R2" s="600"/>
    </row>
    <row r="3" spans="1:18" s="598" customFormat="1" ht="17.25" customHeight="1">
      <c r="A3" s="1279" t="s">
        <v>887</v>
      </c>
      <c r="B3" s="602"/>
      <c r="C3" s="602"/>
      <c r="D3" s="602"/>
      <c r="E3" s="602"/>
      <c r="F3" s="602"/>
      <c r="G3" s="602"/>
      <c r="H3" s="603"/>
      <c r="I3" s="603"/>
      <c r="J3" s="1554" t="str">
        <f>BS!N3</f>
        <v>Gi÷a niªn ®é kÕt thóc ngµy 30/06/2013</v>
      </c>
      <c r="L3" s="600"/>
      <c r="M3" s="601"/>
      <c r="N3" s="600"/>
      <c r="O3" s="600"/>
      <c r="P3" s="600"/>
      <c r="Q3" s="601"/>
      <c r="R3" s="600"/>
    </row>
    <row r="4" spans="1:18" s="594" customFormat="1" ht="8.25" customHeight="1">
      <c r="A4" s="846"/>
      <c r="B4" s="604"/>
      <c r="H4" s="595"/>
      <c r="I4" s="595"/>
      <c r="J4" s="595"/>
      <c r="L4" s="596"/>
      <c r="M4" s="597"/>
      <c r="N4" s="596"/>
      <c r="O4" s="596"/>
      <c r="P4" s="596"/>
      <c r="Q4" s="597"/>
      <c r="R4" s="596"/>
    </row>
    <row r="5" spans="1:18" s="594" customFormat="1" ht="26.25" customHeight="1">
      <c r="A5" s="846"/>
      <c r="B5" s="1689" t="s">
        <v>291</v>
      </c>
      <c r="C5" s="1689"/>
      <c r="D5" s="1689"/>
      <c r="E5" s="1689"/>
      <c r="F5" s="1689"/>
      <c r="G5" s="1689"/>
      <c r="H5" s="1689"/>
      <c r="I5" s="1689"/>
      <c r="J5" s="1689"/>
      <c r="L5" s="596"/>
      <c r="M5" s="597"/>
      <c r="N5" s="596"/>
      <c r="O5" s="596"/>
      <c r="P5" s="596"/>
      <c r="Q5" s="597"/>
      <c r="R5" s="596"/>
    </row>
    <row r="6" spans="1:18" s="697" customFormat="1" ht="19.5" customHeight="1">
      <c r="A6" s="821"/>
      <c r="B6" s="1690" t="s">
        <v>1442</v>
      </c>
      <c r="C6" s="1691"/>
      <c r="D6" s="1691"/>
      <c r="E6" s="1691"/>
      <c r="F6" s="1691"/>
      <c r="G6" s="1691"/>
      <c r="H6" s="1691"/>
      <c r="I6" s="1691"/>
      <c r="J6" s="1691"/>
      <c r="L6" s="636"/>
      <c r="M6" s="637"/>
      <c r="N6" s="636"/>
      <c r="O6" s="636"/>
      <c r="P6" s="636"/>
      <c r="Q6" s="637"/>
      <c r="R6" s="636"/>
    </row>
    <row r="7" spans="1:18" s="848" customFormat="1" ht="21.75" customHeight="1">
      <c r="A7" s="847" t="s">
        <v>940</v>
      </c>
      <c r="B7" s="1685" t="s">
        <v>941</v>
      </c>
      <c r="C7" s="1685"/>
      <c r="D7" s="1685"/>
      <c r="E7" s="1685"/>
      <c r="F7" s="1685"/>
      <c r="G7" s="1685"/>
      <c r="H7" s="1685"/>
      <c r="I7" s="1685"/>
      <c r="J7" s="1685"/>
      <c r="L7" s="849"/>
      <c r="M7" s="850"/>
      <c r="N7" s="849"/>
      <c r="O7" s="849"/>
      <c r="P7" s="849"/>
      <c r="Q7" s="850"/>
      <c r="R7" s="849"/>
    </row>
    <row r="8" spans="1:18" s="852" customFormat="1" ht="21.75" customHeight="1">
      <c r="A8" s="851" t="s">
        <v>662</v>
      </c>
      <c r="B8" s="1674" t="s">
        <v>942</v>
      </c>
      <c r="C8" s="1674"/>
      <c r="D8" s="1674"/>
      <c r="E8" s="1674"/>
      <c r="F8" s="1674"/>
      <c r="G8" s="1674"/>
      <c r="H8" s="1674"/>
      <c r="I8" s="1674"/>
      <c r="J8" s="1674"/>
      <c r="L8" s="853"/>
      <c r="M8" s="854"/>
      <c r="N8" s="853"/>
      <c r="O8" s="853"/>
      <c r="P8" s="853"/>
      <c r="Q8" s="854"/>
      <c r="R8" s="853"/>
    </row>
    <row r="9" spans="1:18" s="840" customFormat="1" ht="72.75" customHeight="1">
      <c r="A9" s="1249"/>
      <c r="B9" s="1686" t="s">
        <v>278</v>
      </c>
      <c r="C9" s="1693"/>
      <c r="D9" s="1693"/>
      <c r="E9" s="1693"/>
      <c r="F9" s="1693"/>
      <c r="G9" s="1693"/>
      <c r="H9" s="1693"/>
      <c r="I9" s="1693"/>
      <c r="J9" s="1693"/>
    </row>
    <row r="10" spans="1:18" s="840" customFormat="1" ht="5.25" customHeight="1">
      <c r="A10" s="1249"/>
      <c r="B10" s="1362"/>
      <c r="C10" s="1363"/>
      <c r="D10" s="1363"/>
      <c r="E10" s="1363"/>
      <c r="F10" s="1363"/>
      <c r="G10" s="1363"/>
      <c r="H10" s="1363"/>
      <c r="I10" s="1363"/>
      <c r="J10" s="1363"/>
    </row>
    <row r="11" spans="1:18" s="856" customFormat="1" ht="36" customHeight="1">
      <c r="A11" s="855"/>
      <c r="B11" s="1688" t="s">
        <v>1250</v>
      </c>
      <c r="C11" s="1688"/>
      <c r="D11" s="1688"/>
      <c r="E11" s="1688"/>
      <c r="F11" s="1688"/>
      <c r="G11" s="1688"/>
      <c r="H11" s="1688"/>
      <c r="I11" s="1688"/>
      <c r="J11" s="1688"/>
      <c r="K11" s="1384"/>
      <c r="L11" s="857"/>
      <c r="M11" s="858"/>
      <c r="N11" s="857"/>
      <c r="O11" s="857"/>
      <c r="P11" s="857"/>
      <c r="Q11" s="858"/>
      <c r="R11" s="857"/>
    </row>
    <row r="12" spans="1:18" s="848" customFormat="1" ht="4.5" customHeight="1">
      <c r="A12" s="859"/>
      <c r="B12" s="1695"/>
      <c r="C12" s="1695"/>
      <c r="D12" s="1695"/>
      <c r="E12" s="1695"/>
      <c r="F12" s="1695"/>
      <c r="G12" s="1695"/>
      <c r="H12" s="1695"/>
      <c r="I12" s="1695"/>
      <c r="J12" s="1695"/>
      <c r="L12" s="849"/>
      <c r="M12" s="850"/>
      <c r="N12" s="849"/>
      <c r="O12" s="849"/>
      <c r="P12" s="849"/>
      <c r="Q12" s="850"/>
      <c r="R12" s="849"/>
    </row>
    <row r="13" spans="1:18" s="848" customFormat="1" ht="29.25" customHeight="1">
      <c r="A13" s="859"/>
      <c r="B13" s="1694" t="s">
        <v>1586</v>
      </c>
      <c r="C13" s="1616"/>
      <c r="D13" s="1616"/>
      <c r="E13" s="1616"/>
      <c r="F13" s="1616"/>
      <c r="G13" s="1616"/>
      <c r="H13" s="1616"/>
      <c r="I13" s="1616"/>
      <c r="J13" s="1616"/>
      <c r="K13" s="1616"/>
      <c r="L13" s="849"/>
      <c r="M13" s="850"/>
      <c r="N13" s="849"/>
      <c r="O13" s="849"/>
      <c r="P13" s="849"/>
      <c r="Q13" s="850"/>
      <c r="R13" s="849"/>
    </row>
    <row r="14" spans="1:18" s="848" customFormat="1" ht="6" customHeight="1">
      <c r="A14" s="859"/>
      <c r="B14" s="1374"/>
      <c r="C14" s="1169"/>
      <c r="D14" s="1169"/>
      <c r="E14" s="1169"/>
      <c r="F14" s="1169"/>
      <c r="G14" s="1169"/>
      <c r="H14" s="1169"/>
      <c r="I14" s="1169"/>
      <c r="J14" s="1169"/>
      <c r="L14" s="849"/>
      <c r="M14" s="850"/>
      <c r="N14" s="849"/>
      <c r="O14" s="849"/>
      <c r="P14" s="849"/>
      <c r="Q14" s="850"/>
      <c r="R14" s="849"/>
    </row>
    <row r="15" spans="1:18" s="848" customFormat="1" ht="20.25" customHeight="1">
      <c r="A15" s="851" t="s">
        <v>664</v>
      </c>
      <c r="B15" s="1674" t="s">
        <v>579</v>
      </c>
      <c r="C15" s="1674"/>
      <c r="D15" s="1674"/>
      <c r="E15" s="1674"/>
      <c r="F15" s="1674"/>
      <c r="G15" s="1674"/>
      <c r="H15" s="1674"/>
      <c r="I15" s="1674"/>
      <c r="J15" s="1674"/>
      <c r="L15" s="849"/>
      <c r="M15" s="850"/>
      <c r="N15" s="849"/>
      <c r="O15" s="849"/>
      <c r="P15" s="849"/>
      <c r="Q15" s="850"/>
      <c r="R15" s="849"/>
    </row>
    <row r="16" spans="1:18" s="852" customFormat="1" ht="19.5" customHeight="1">
      <c r="A16" s="851" t="s">
        <v>666</v>
      </c>
      <c r="B16" s="1674" t="s">
        <v>1132</v>
      </c>
      <c r="C16" s="1674"/>
      <c r="D16" s="1674"/>
      <c r="E16" s="1674"/>
      <c r="F16" s="1674"/>
      <c r="G16" s="1674"/>
      <c r="H16" s="1674"/>
      <c r="I16" s="1674"/>
      <c r="J16" s="1674"/>
      <c r="L16" s="853"/>
      <c r="M16" s="854"/>
      <c r="N16" s="853"/>
      <c r="O16" s="853"/>
      <c r="P16" s="853"/>
      <c r="Q16" s="854"/>
      <c r="R16" s="853"/>
    </row>
    <row r="17" spans="1:10" s="841" customFormat="1" ht="15.75" customHeight="1">
      <c r="A17" s="1393" t="s">
        <v>1389</v>
      </c>
      <c r="B17" s="1676" t="s">
        <v>1446</v>
      </c>
      <c r="C17" s="1677"/>
      <c r="D17" s="1677"/>
      <c r="E17" s="1677"/>
      <c r="F17" s="1677"/>
      <c r="G17" s="1677"/>
      <c r="H17" s="1677"/>
      <c r="I17" s="1677"/>
      <c r="J17" s="1677"/>
    </row>
    <row r="18" spans="1:10" s="841" customFormat="1" ht="15.75" customHeight="1">
      <c r="A18" s="1393" t="s">
        <v>1389</v>
      </c>
      <c r="B18" s="1676" t="s">
        <v>1447</v>
      </c>
      <c r="C18" s="1677"/>
      <c r="D18" s="1677"/>
      <c r="E18" s="1677"/>
      <c r="F18" s="1677"/>
      <c r="G18" s="1677"/>
      <c r="H18" s="1677"/>
      <c r="I18" s="1677"/>
      <c r="J18" s="1677"/>
    </row>
    <row r="19" spans="1:10" s="841" customFormat="1" ht="14.25">
      <c r="A19" s="1393" t="s">
        <v>1389</v>
      </c>
      <c r="B19" s="1676" t="s">
        <v>1448</v>
      </c>
      <c r="C19" s="1677"/>
      <c r="D19" s="1677"/>
      <c r="E19" s="1677"/>
      <c r="F19" s="1677"/>
      <c r="G19" s="1677"/>
      <c r="H19" s="1677"/>
      <c r="I19" s="1677"/>
      <c r="J19" s="1677"/>
    </row>
    <row r="20" spans="1:10" s="841" customFormat="1" ht="15.75" customHeight="1">
      <c r="A20" s="1393" t="s">
        <v>1389</v>
      </c>
      <c r="B20" s="1249" t="s">
        <v>1449</v>
      </c>
      <c r="C20" s="1394"/>
      <c r="D20" s="1394"/>
      <c r="E20" s="1394"/>
      <c r="F20" s="1394"/>
      <c r="G20" s="1394"/>
      <c r="H20" s="1394"/>
      <c r="I20" s="1394"/>
      <c r="J20" s="1394"/>
    </row>
    <row r="21" spans="1:10" s="841" customFormat="1" ht="15.75" customHeight="1">
      <c r="A21" s="1393" t="s">
        <v>1389</v>
      </c>
      <c r="B21" s="1676" t="s">
        <v>533</v>
      </c>
      <c r="C21" s="1677"/>
      <c r="D21" s="1677"/>
      <c r="E21" s="1677"/>
      <c r="F21" s="1677"/>
      <c r="G21" s="1677"/>
      <c r="H21" s="1677"/>
      <c r="I21" s="1677"/>
      <c r="J21" s="1677"/>
    </row>
    <row r="22" spans="1:10" s="841" customFormat="1" ht="15.75" customHeight="1">
      <c r="A22" s="1393" t="s">
        <v>1389</v>
      </c>
      <c r="B22" s="1249" t="s">
        <v>534</v>
      </c>
      <c r="C22" s="1394"/>
      <c r="D22" s="1394"/>
      <c r="E22" s="1394"/>
      <c r="F22" s="1394"/>
      <c r="G22" s="1394"/>
      <c r="H22" s="1394"/>
      <c r="I22" s="1394"/>
      <c r="J22" s="1394"/>
    </row>
    <row r="23" spans="1:10" s="841" customFormat="1" ht="31.5" customHeight="1">
      <c r="A23" s="1393" t="s">
        <v>1389</v>
      </c>
      <c r="B23" s="1676" t="s">
        <v>535</v>
      </c>
      <c r="C23" s="1677"/>
      <c r="D23" s="1677"/>
      <c r="E23" s="1677"/>
      <c r="F23" s="1677"/>
      <c r="G23" s="1677"/>
      <c r="H23" s="1677"/>
      <c r="I23" s="1677"/>
      <c r="J23" s="1677"/>
    </row>
    <row r="24" spans="1:10" s="841" customFormat="1" ht="15.75" customHeight="1">
      <c r="A24" s="1393" t="s">
        <v>1389</v>
      </c>
      <c r="B24" s="1676" t="s">
        <v>536</v>
      </c>
      <c r="C24" s="1677"/>
      <c r="D24" s="1677"/>
      <c r="E24" s="1677"/>
      <c r="F24" s="1677"/>
      <c r="G24" s="1677"/>
      <c r="H24" s="1677"/>
      <c r="I24" s="1677"/>
      <c r="J24" s="1677"/>
    </row>
    <row r="25" spans="1:10" s="841" customFormat="1" ht="15.75" customHeight="1">
      <c r="A25" s="1393" t="s">
        <v>1389</v>
      </c>
      <c r="B25" s="1249" t="s">
        <v>537</v>
      </c>
      <c r="C25" s="1394"/>
      <c r="D25" s="1394"/>
      <c r="E25" s="1394"/>
      <c r="F25" s="1394"/>
      <c r="G25" s="1394"/>
      <c r="H25" s="1394"/>
      <c r="I25" s="1394"/>
      <c r="J25" s="1394"/>
    </row>
    <row r="26" spans="1:10" s="841" customFormat="1" ht="15.75" customHeight="1">
      <c r="A26" s="1393" t="s">
        <v>1389</v>
      </c>
      <c r="B26" s="1249" t="s">
        <v>1189</v>
      </c>
      <c r="C26" s="1394"/>
      <c r="D26" s="1394"/>
      <c r="E26" s="1394"/>
      <c r="F26" s="1394"/>
      <c r="G26" s="1394"/>
      <c r="H26" s="1394"/>
      <c r="I26" s="1394"/>
      <c r="J26" s="1394"/>
    </row>
    <row r="27" spans="1:10" s="841" customFormat="1" ht="15.75" customHeight="1">
      <c r="A27" s="1393" t="s">
        <v>1389</v>
      </c>
      <c r="B27" s="1249" t="s">
        <v>538</v>
      </c>
      <c r="C27" s="1394"/>
      <c r="D27" s="1394"/>
      <c r="E27" s="1394"/>
      <c r="F27" s="1394"/>
      <c r="G27" s="1394"/>
      <c r="H27" s="1394"/>
      <c r="I27" s="1394"/>
      <c r="J27" s="1394"/>
    </row>
    <row r="28" spans="1:10" s="841" customFormat="1" ht="15.75" customHeight="1">
      <c r="A28" s="1393" t="s">
        <v>1389</v>
      </c>
      <c r="B28" s="1676" t="s">
        <v>539</v>
      </c>
      <c r="C28" s="1677"/>
      <c r="D28" s="1677"/>
      <c r="E28" s="1677"/>
      <c r="F28" s="1677"/>
      <c r="G28" s="1677"/>
      <c r="H28" s="1677"/>
      <c r="I28" s="1677"/>
      <c r="J28" s="1677"/>
    </row>
    <row r="29" spans="1:10" s="841" customFormat="1" ht="33" customHeight="1">
      <c r="A29" s="1393" t="s">
        <v>1389</v>
      </c>
      <c r="B29" s="1676" t="s">
        <v>540</v>
      </c>
      <c r="C29" s="1677"/>
      <c r="D29" s="1677"/>
      <c r="E29" s="1677"/>
      <c r="F29" s="1677"/>
      <c r="G29" s="1677"/>
      <c r="H29" s="1677"/>
      <c r="I29" s="1677"/>
      <c r="J29" s="1677"/>
    </row>
    <row r="30" spans="1:10" s="841" customFormat="1" ht="15.75" customHeight="1">
      <c r="A30" s="1393" t="s">
        <v>1389</v>
      </c>
      <c r="B30" s="1676" t="s">
        <v>541</v>
      </c>
      <c r="C30" s="1677"/>
      <c r="D30" s="1677"/>
      <c r="E30" s="1677"/>
      <c r="F30" s="1677"/>
      <c r="G30" s="1677"/>
      <c r="H30" s="1677"/>
      <c r="I30" s="1677"/>
      <c r="J30" s="1677"/>
    </row>
    <row r="31" spans="1:10" s="841" customFormat="1" ht="15.75" customHeight="1">
      <c r="A31" s="1393" t="s">
        <v>1389</v>
      </c>
      <c r="B31" s="1676" t="s">
        <v>542</v>
      </c>
      <c r="C31" s="1677"/>
      <c r="D31" s="1677"/>
      <c r="E31" s="1677"/>
      <c r="F31" s="1677"/>
      <c r="G31" s="1677"/>
      <c r="H31" s="1677"/>
      <c r="I31" s="1677"/>
      <c r="J31" s="1677"/>
    </row>
    <row r="32" spans="1:10" s="841" customFormat="1" ht="46.5" customHeight="1">
      <c r="A32" s="1393" t="s">
        <v>1389</v>
      </c>
      <c r="B32" s="1676" t="s">
        <v>543</v>
      </c>
      <c r="C32" s="1677"/>
      <c r="D32" s="1677"/>
      <c r="E32" s="1677"/>
      <c r="F32" s="1677"/>
      <c r="G32" s="1677"/>
      <c r="H32" s="1677"/>
      <c r="I32" s="1677"/>
      <c r="J32" s="1677"/>
    </row>
    <row r="33" spans="1:18" s="841" customFormat="1" ht="32.25" customHeight="1">
      <c r="A33" s="1393" t="s">
        <v>1389</v>
      </c>
      <c r="B33" s="1676" t="s">
        <v>544</v>
      </c>
      <c r="C33" s="1677"/>
      <c r="D33" s="1677"/>
      <c r="E33" s="1677"/>
      <c r="F33" s="1677"/>
      <c r="G33" s="1677"/>
      <c r="H33" s="1677"/>
      <c r="I33" s="1677"/>
      <c r="J33" s="1677"/>
    </row>
    <row r="34" spans="1:18" s="841" customFormat="1" ht="14.25">
      <c r="A34" s="1393" t="s">
        <v>1389</v>
      </c>
      <c r="B34" s="1676" t="s">
        <v>545</v>
      </c>
      <c r="C34" s="1677"/>
      <c r="D34" s="1677"/>
      <c r="E34" s="1677"/>
      <c r="F34" s="1677"/>
      <c r="G34" s="1677"/>
      <c r="H34" s="1677"/>
      <c r="I34" s="1677"/>
      <c r="J34" s="1677"/>
    </row>
    <row r="35" spans="1:18" s="841" customFormat="1" ht="14.25">
      <c r="A35" s="1393" t="s">
        <v>1389</v>
      </c>
      <c r="B35" s="1676" t="s">
        <v>292</v>
      </c>
      <c r="C35" s="1677"/>
      <c r="D35" s="1677"/>
      <c r="E35" s="1677"/>
      <c r="F35" s="1677"/>
      <c r="G35" s="1677"/>
      <c r="H35" s="1677"/>
      <c r="I35" s="1677"/>
      <c r="J35" s="1677"/>
    </row>
    <row r="36" spans="1:18" s="841" customFormat="1" ht="32.25" customHeight="1">
      <c r="A36" s="1393" t="s">
        <v>1389</v>
      </c>
      <c r="B36" s="1676" t="s">
        <v>569</v>
      </c>
      <c r="C36" s="1677"/>
      <c r="D36" s="1677"/>
      <c r="E36" s="1677"/>
      <c r="F36" s="1677"/>
      <c r="G36" s="1677"/>
      <c r="H36" s="1677"/>
      <c r="I36" s="1677"/>
      <c r="J36" s="1677"/>
    </row>
    <row r="37" spans="1:18" s="841" customFormat="1" ht="14.25">
      <c r="A37" s="1393" t="s">
        <v>1389</v>
      </c>
      <c r="B37" s="1676" t="s">
        <v>570</v>
      </c>
      <c r="C37" s="1677"/>
      <c r="D37" s="1677"/>
      <c r="E37" s="1677"/>
      <c r="F37" s="1677"/>
      <c r="G37" s="1677"/>
      <c r="H37" s="1677"/>
      <c r="I37" s="1677"/>
      <c r="J37" s="1677"/>
    </row>
    <row r="38" spans="1:18" s="841" customFormat="1" ht="14.25">
      <c r="A38" s="1393" t="s">
        <v>1389</v>
      </c>
      <c r="B38" s="1676" t="s">
        <v>571</v>
      </c>
      <c r="C38" s="1677"/>
      <c r="D38" s="1677"/>
      <c r="E38" s="1677"/>
      <c r="F38" s="1677"/>
      <c r="G38" s="1677"/>
      <c r="H38" s="1677"/>
      <c r="I38" s="1677"/>
      <c r="J38" s="1677"/>
    </row>
    <row r="39" spans="1:18" s="841" customFormat="1" ht="14.25">
      <c r="A39" s="1393" t="s">
        <v>1389</v>
      </c>
      <c r="B39" s="1676" t="s">
        <v>572</v>
      </c>
      <c r="C39" s="1677"/>
      <c r="D39" s="1677"/>
      <c r="E39" s="1677"/>
      <c r="F39" s="1677"/>
      <c r="G39" s="1677"/>
      <c r="H39" s="1677"/>
      <c r="I39" s="1677"/>
      <c r="J39" s="1677"/>
    </row>
    <row r="40" spans="1:18" s="841" customFormat="1" ht="14.25">
      <c r="A40" s="1393" t="s">
        <v>1389</v>
      </c>
      <c r="B40" s="1676" t="s">
        <v>573</v>
      </c>
      <c r="C40" s="1677"/>
      <c r="D40" s="1677"/>
      <c r="E40" s="1677"/>
      <c r="F40" s="1677"/>
      <c r="G40" s="1677"/>
      <c r="H40" s="1677"/>
      <c r="I40" s="1677"/>
      <c r="J40" s="1677"/>
    </row>
    <row r="41" spans="1:18" s="841" customFormat="1" ht="14.25">
      <c r="A41" s="1393" t="s">
        <v>1389</v>
      </c>
      <c r="B41" s="1676" t="s">
        <v>574</v>
      </c>
      <c r="C41" s="1677"/>
      <c r="D41" s="1677"/>
      <c r="E41" s="1677"/>
      <c r="F41" s="1677"/>
      <c r="G41" s="1677"/>
      <c r="H41" s="1677"/>
      <c r="I41" s="1677"/>
      <c r="J41" s="1677"/>
    </row>
    <row r="42" spans="1:18" s="841" customFormat="1" ht="14.25">
      <c r="A42" s="1393" t="s">
        <v>1389</v>
      </c>
      <c r="B42" s="1676" t="s">
        <v>293</v>
      </c>
      <c r="C42" s="1677"/>
      <c r="D42" s="1677"/>
      <c r="E42" s="1677"/>
      <c r="F42" s="1677"/>
      <c r="G42" s="1677"/>
      <c r="H42" s="1677"/>
      <c r="I42" s="1677"/>
      <c r="J42" s="1677"/>
    </row>
    <row r="43" spans="1:18" s="841" customFormat="1" ht="14.25">
      <c r="A43" s="1393" t="s">
        <v>1389</v>
      </c>
      <c r="B43" s="1676" t="s">
        <v>575</v>
      </c>
      <c r="C43" s="1677"/>
      <c r="D43" s="1677"/>
      <c r="E43" s="1677"/>
      <c r="F43" s="1677"/>
      <c r="G43" s="1677"/>
      <c r="H43" s="1677"/>
      <c r="I43" s="1677"/>
      <c r="J43" s="1677"/>
    </row>
    <row r="44" spans="1:18" s="841" customFormat="1" ht="14.25">
      <c r="A44" s="1393" t="s">
        <v>1389</v>
      </c>
      <c r="B44" s="1676" t="s">
        <v>576</v>
      </c>
      <c r="C44" s="1677"/>
      <c r="D44" s="1677"/>
      <c r="E44" s="1677"/>
      <c r="F44" s="1677"/>
      <c r="G44" s="1677"/>
      <c r="H44" s="1677"/>
      <c r="I44" s="1677"/>
      <c r="J44" s="1677"/>
    </row>
    <row r="45" spans="1:18" s="841" customFormat="1" ht="14.25">
      <c r="A45" s="1393" t="s">
        <v>1389</v>
      </c>
      <c r="B45" s="1676" t="s">
        <v>577</v>
      </c>
      <c r="C45" s="1677"/>
      <c r="D45" s="1677"/>
      <c r="E45" s="1677"/>
      <c r="F45" s="1677"/>
      <c r="G45" s="1677"/>
      <c r="H45" s="1677"/>
      <c r="I45" s="1677"/>
      <c r="J45" s="1677"/>
    </row>
    <row r="46" spans="1:18" s="841" customFormat="1" ht="59.25" customHeight="1">
      <c r="A46" s="1393" t="s">
        <v>1389</v>
      </c>
      <c r="B46" s="1676" t="s">
        <v>578</v>
      </c>
      <c r="C46" s="1677"/>
      <c r="D46" s="1677"/>
      <c r="E46" s="1677"/>
      <c r="F46" s="1677"/>
      <c r="G46" s="1677"/>
      <c r="H46" s="1677"/>
      <c r="I46" s="1677"/>
      <c r="J46" s="1677"/>
    </row>
    <row r="47" spans="1:18" s="605" customFormat="1" ht="8.25" customHeight="1">
      <c r="A47" s="822"/>
      <c r="B47" s="1684"/>
      <c r="C47" s="1684"/>
      <c r="D47" s="1684"/>
      <c r="E47" s="1684"/>
      <c r="F47" s="1684"/>
      <c r="G47" s="1684"/>
      <c r="H47" s="1684"/>
      <c r="I47" s="1684"/>
      <c r="J47" s="1684"/>
      <c r="L47" s="607"/>
      <c r="M47" s="606"/>
      <c r="N47" s="607"/>
      <c r="O47" s="607"/>
      <c r="P47" s="607"/>
      <c r="Q47" s="606"/>
      <c r="R47" s="607"/>
    </row>
    <row r="48" spans="1:18" s="848" customFormat="1" ht="19.5" customHeight="1">
      <c r="A48" s="847" t="s">
        <v>964</v>
      </c>
      <c r="B48" s="1685" t="s">
        <v>965</v>
      </c>
      <c r="C48" s="1685"/>
      <c r="D48" s="1685"/>
      <c r="E48" s="1685"/>
      <c r="F48" s="1685"/>
      <c r="G48" s="1685"/>
      <c r="H48" s="1685"/>
      <c r="I48" s="1685"/>
      <c r="J48" s="1685"/>
      <c r="L48" s="849"/>
      <c r="M48" s="850"/>
      <c r="N48" s="849"/>
      <c r="O48" s="849"/>
      <c r="P48" s="849"/>
      <c r="Q48" s="850"/>
      <c r="R48" s="849"/>
    </row>
    <row r="49" spans="1:18" s="848" customFormat="1" ht="19.5" customHeight="1">
      <c r="A49" s="859" t="s">
        <v>662</v>
      </c>
      <c r="B49" s="1671" t="s">
        <v>1661</v>
      </c>
      <c r="C49" s="1671"/>
      <c r="D49" s="1671"/>
      <c r="E49" s="1671"/>
      <c r="F49" s="1671"/>
      <c r="G49" s="1671"/>
      <c r="H49" s="1671"/>
      <c r="I49" s="1671"/>
      <c r="J49" s="1671"/>
      <c r="L49" s="849"/>
      <c r="M49" s="850"/>
      <c r="N49" s="849"/>
      <c r="O49" s="849"/>
      <c r="P49" s="849"/>
      <c r="Q49" s="850"/>
      <c r="R49" s="849"/>
    </row>
    <row r="50" spans="1:18" s="848" customFormat="1" ht="19.5" customHeight="1">
      <c r="A50" s="859" t="s">
        <v>664</v>
      </c>
      <c r="B50" s="1683" t="s">
        <v>408</v>
      </c>
      <c r="C50" s="1671"/>
      <c r="D50" s="1671"/>
      <c r="E50" s="1671"/>
      <c r="F50" s="1671"/>
      <c r="G50" s="1671"/>
      <c r="H50" s="1671"/>
      <c r="I50" s="1671"/>
      <c r="J50" s="1671"/>
      <c r="L50" s="849"/>
      <c r="M50" s="850"/>
      <c r="N50" s="849"/>
      <c r="O50" s="849"/>
      <c r="P50" s="849"/>
      <c r="Q50" s="850"/>
      <c r="R50" s="849"/>
    </row>
    <row r="51" spans="1:18" s="848" customFormat="1" ht="19.5" customHeight="1">
      <c r="A51" s="859">
        <v>3</v>
      </c>
      <c r="B51" s="1683" t="s">
        <v>927</v>
      </c>
      <c r="C51" s="1671"/>
      <c r="D51" s="1671"/>
      <c r="E51" s="1671"/>
      <c r="F51" s="1671"/>
      <c r="G51" s="1671"/>
      <c r="H51" s="1671"/>
      <c r="I51" s="1671"/>
      <c r="J51" s="1671"/>
      <c r="L51" s="849"/>
      <c r="M51" s="850"/>
      <c r="N51" s="849"/>
      <c r="O51" s="849"/>
      <c r="P51" s="849"/>
      <c r="Q51" s="850"/>
      <c r="R51" s="849"/>
    </row>
    <row r="52" spans="1:18" s="848" customFormat="1" ht="6.75" customHeight="1">
      <c r="A52" s="859"/>
      <c r="B52" s="860"/>
      <c r="C52" s="860"/>
      <c r="D52" s="860"/>
      <c r="E52" s="860"/>
      <c r="F52" s="860"/>
      <c r="G52" s="860"/>
      <c r="H52" s="860"/>
      <c r="I52" s="860"/>
      <c r="J52" s="860"/>
      <c r="L52" s="849"/>
      <c r="M52" s="850"/>
      <c r="N52" s="849"/>
      <c r="O52" s="849"/>
      <c r="P52" s="849"/>
      <c r="Q52" s="850"/>
      <c r="R52" s="849"/>
    </row>
    <row r="53" spans="1:18" s="848" customFormat="1" ht="21.75" customHeight="1">
      <c r="A53" s="847" t="s">
        <v>966</v>
      </c>
      <c r="B53" s="1685" t="s">
        <v>967</v>
      </c>
      <c r="C53" s="1685"/>
      <c r="D53" s="1685"/>
      <c r="E53" s="1685"/>
      <c r="F53" s="1685"/>
      <c r="G53" s="1685"/>
      <c r="H53" s="1685"/>
      <c r="I53" s="1685"/>
      <c r="J53" s="1685"/>
      <c r="L53" s="849"/>
      <c r="M53" s="850"/>
      <c r="N53" s="849"/>
      <c r="O53" s="849"/>
      <c r="P53" s="849"/>
      <c r="Q53" s="850"/>
      <c r="R53" s="849"/>
    </row>
    <row r="54" spans="1:18" s="848" customFormat="1" ht="46.5" customHeight="1">
      <c r="A54" s="859" t="s">
        <v>662</v>
      </c>
      <c r="B54" s="1683" t="s">
        <v>1228</v>
      </c>
      <c r="C54" s="1671"/>
      <c r="D54" s="1671"/>
      <c r="E54" s="1671"/>
      <c r="F54" s="1671"/>
      <c r="G54" s="1671"/>
      <c r="H54" s="1671"/>
      <c r="I54" s="1671"/>
      <c r="J54" s="1671"/>
      <c r="L54" s="849"/>
      <c r="M54" s="850"/>
      <c r="N54" s="849"/>
      <c r="O54" s="849"/>
      <c r="P54" s="849"/>
      <c r="Q54" s="850"/>
      <c r="R54" s="849"/>
    </row>
    <row r="55" spans="1:18" s="848" customFormat="1" ht="18.75" customHeight="1">
      <c r="A55" s="859" t="s">
        <v>664</v>
      </c>
      <c r="B55" s="1683" t="s">
        <v>1663</v>
      </c>
      <c r="C55" s="1671"/>
      <c r="D55" s="1671"/>
      <c r="E55" s="1671"/>
      <c r="F55" s="1671"/>
      <c r="G55" s="1671"/>
      <c r="H55" s="1671"/>
      <c r="I55" s="1671"/>
      <c r="J55" s="1671"/>
      <c r="L55" s="849"/>
      <c r="M55" s="850"/>
      <c r="N55" s="849"/>
      <c r="O55" s="849"/>
      <c r="P55" s="849"/>
      <c r="Q55" s="850"/>
      <c r="R55" s="849"/>
    </row>
    <row r="56" spans="1:18" s="848" customFormat="1" ht="45" customHeight="1">
      <c r="A56" s="859"/>
      <c r="B56" s="1683" t="s">
        <v>5</v>
      </c>
      <c r="C56" s="1671"/>
      <c r="D56" s="1671"/>
      <c r="E56" s="1671"/>
      <c r="F56" s="1671"/>
      <c r="G56" s="1671"/>
      <c r="H56" s="1671"/>
      <c r="I56" s="1671"/>
      <c r="J56" s="1671"/>
      <c r="L56" s="849"/>
      <c r="M56" s="850"/>
      <c r="N56" s="849"/>
      <c r="O56" s="849"/>
      <c r="P56" s="849"/>
      <c r="Q56" s="850"/>
      <c r="R56" s="849"/>
    </row>
    <row r="57" spans="1:18" s="848" customFormat="1" ht="33" customHeight="1">
      <c r="A57" s="859" t="s">
        <v>666</v>
      </c>
      <c r="B57" s="1671" t="s">
        <v>556</v>
      </c>
      <c r="C57" s="1671"/>
      <c r="D57" s="1671"/>
      <c r="E57" s="1671"/>
      <c r="F57" s="1671"/>
      <c r="G57" s="1671"/>
      <c r="H57" s="1671"/>
      <c r="I57" s="1671"/>
      <c r="J57" s="1671"/>
      <c r="L57" s="849"/>
      <c r="M57" s="850"/>
      <c r="N57" s="849"/>
      <c r="O57" s="849"/>
      <c r="P57" s="849"/>
      <c r="Q57" s="850"/>
      <c r="R57" s="849"/>
    </row>
    <row r="58" spans="1:18" s="848" customFormat="1" ht="21.75" customHeight="1">
      <c r="A58" s="847" t="s">
        <v>968</v>
      </c>
      <c r="B58" s="1685" t="s">
        <v>326</v>
      </c>
      <c r="C58" s="1685"/>
      <c r="D58" s="1685"/>
      <c r="E58" s="1685"/>
      <c r="F58" s="1685"/>
      <c r="G58" s="1685"/>
      <c r="H58" s="1685"/>
      <c r="I58" s="1685"/>
      <c r="J58" s="1685"/>
      <c r="L58" s="849"/>
      <c r="M58" s="850"/>
      <c r="N58" s="849"/>
      <c r="O58" s="849"/>
      <c r="P58" s="849"/>
      <c r="Q58" s="850"/>
      <c r="R58" s="849"/>
    </row>
    <row r="59" spans="1:18" s="848" customFormat="1" ht="21.75" hidden="1" customHeight="1">
      <c r="A59" s="631" t="s">
        <v>662</v>
      </c>
      <c r="B59" s="1673" t="s">
        <v>854</v>
      </c>
      <c r="C59" s="1673"/>
      <c r="D59" s="1673"/>
      <c r="E59" s="1673"/>
      <c r="F59" s="1673"/>
      <c r="G59" s="1673"/>
      <c r="H59" s="1673"/>
      <c r="I59" s="1673"/>
      <c r="J59" s="1673"/>
      <c r="L59" s="849"/>
      <c r="M59" s="850"/>
      <c r="N59" s="849"/>
      <c r="O59" s="849"/>
      <c r="P59" s="849"/>
      <c r="Q59" s="850"/>
      <c r="R59" s="849"/>
    </row>
    <row r="60" spans="1:18" s="848" customFormat="1" ht="79.5" hidden="1" customHeight="1">
      <c r="A60" s="847"/>
      <c r="B60" s="1686" t="s">
        <v>1407</v>
      </c>
      <c r="C60" s="1686"/>
      <c r="D60" s="1686"/>
      <c r="E60" s="1686"/>
      <c r="F60" s="1686"/>
      <c r="G60" s="1686"/>
      <c r="H60" s="1686"/>
      <c r="I60" s="1686"/>
      <c r="J60" s="1686"/>
      <c r="L60" s="849"/>
      <c r="M60" s="850"/>
      <c r="N60" s="849"/>
      <c r="O60" s="849"/>
      <c r="P60" s="849"/>
      <c r="Q60" s="850"/>
      <c r="R60" s="849"/>
    </row>
    <row r="61" spans="1:18" s="848" customFormat="1" ht="7.5" customHeight="1">
      <c r="A61" s="847"/>
      <c r="B61" s="1169"/>
      <c r="C61" s="1169"/>
      <c r="D61" s="1169"/>
      <c r="E61" s="1169"/>
      <c r="F61" s="1169"/>
      <c r="G61" s="1169"/>
      <c r="H61" s="1169"/>
      <c r="I61" s="1169"/>
      <c r="J61" s="1169"/>
      <c r="L61" s="849"/>
      <c r="M61" s="850"/>
      <c r="N61" s="849"/>
      <c r="O61" s="849"/>
      <c r="P61" s="849"/>
      <c r="Q61" s="850"/>
      <c r="R61" s="849"/>
    </row>
    <row r="62" spans="1:18" s="852" customFormat="1" ht="21.75" customHeight="1">
      <c r="A62" s="851" t="s">
        <v>662</v>
      </c>
      <c r="B62" s="1674" t="s">
        <v>1133</v>
      </c>
      <c r="C62" s="1674"/>
      <c r="D62" s="1674"/>
      <c r="E62" s="1674"/>
      <c r="F62" s="1674"/>
      <c r="G62" s="1674"/>
      <c r="H62" s="1674"/>
      <c r="I62" s="1674"/>
      <c r="J62" s="1674"/>
      <c r="L62" s="853"/>
      <c r="M62" s="854"/>
      <c r="N62" s="853"/>
      <c r="O62" s="853"/>
      <c r="P62" s="853"/>
      <c r="Q62" s="854"/>
      <c r="R62" s="853"/>
    </row>
    <row r="63" spans="1:18" s="848" customFormat="1" ht="19.5" customHeight="1">
      <c r="A63" s="861" t="s">
        <v>409</v>
      </c>
      <c r="B63" s="1674" t="s">
        <v>1229</v>
      </c>
      <c r="C63" s="1674"/>
      <c r="D63" s="1674"/>
      <c r="E63" s="1674"/>
      <c r="F63" s="1674"/>
      <c r="G63" s="1674"/>
      <c r="H63" s="1674"/>
      <c r="I63" s="1674"/>
      <c r="J63" s="1674"/>
      <c r="L63" s="849"/>
      <c r="M63" s="850"/>
      <c r="N63" s="849"/>
      <c r="O63" s="849"/>
      <c r="P63" s="849"/>
      <c r="Q63" s="850"/>
      <c r="R63" s="849"/>
    </row>
    <row r="64" spans="1:18" s="848" customFormat="1" ht="63" customHeight="1">
      <c r="A64" s="859"/>
      <c r="B64" s="1671" t="s">
        <v>1230</v>
      </c>
      <c r="C64" s="1671"/>
      <c r="D64" s="1671"/>
      <c r="E64" s="1671"/>
      <c r="F64" s="1671"/>
      <c r="G64" s="1671"/>
      <c r="H64" s="1671"/>
      <c r="I64" s="1671"/>
      <c r="J64" s="1671"/>
      <c r="L64" s="849"/>
      <c r="M64" s="850"/>
      <c r="N64" s="849"/>
      <c r="O64" s="849"/>
      <c r="P64" s="849"/>
      <c r="Q64" s="850"/>
      <c r="R64" s="849"/>
    </row>
    <row r="65" spans="1:18" s="848" customFormat="1" ht="64.5" customHeight="1">
      <c r="A65" s="859"/>
      <c r="B65" s="1683" t="s">
        <v>132</v>
      </c>
      <c r="C65" s="1683"/>
      <c r="D65" s="1683"/>
      <c r="E65" s="1683"/>
      <c r="F65" s="1683"/>
      <c r="G65" s="1683"/>
      <c r="H65" s="1683"/>
      <c r="I65" s="1683"/>
      <c r="J65" s="1683"/>
      <c r="L65" s="849"/>
      <c r="M65" s="850"/>
      <c r="N65" s="849"/>
      <c r="O65" s="849"/>
      <c r="P65" s="849"/>
      <c r="Q65" s="850"/>
      <c r="R65" s="849"/>
    </row>
    <row r="66" spans="1:18" s="848" customFormat="1" ht="17.25" customHeight="1">
      <c r="A66" s="861" t="s">
        <v>410</v>
      </c>
      <c r="B66" s="1674" t="s">
        <v>1231</v>
      </c>
      <c r="C66" s="1674"/>
      <c r="D66" s="1674"/>
      <c r="E66" s="1674"/>
      <c r="F66" s="1674"/>
      <c r="G66" s="1674"/>
      <c r="H66" s="1674"/>
      <c r="I66" s="1674"/>
      <c r="J66" s="1674"/>
      <c r="L66" s="849"/>
      <c r="M66" s="850"/>
      <c r="N66" s="849"/>
      <c r="O66" s="849"/>
      <c r="P66" s="849"/>
      <c r="Q66" s="850"/>
      <c r="R66" s="849"/>
    </row>
    <row r="67" spans="1:18" s="848" customFormat="1" ht="48" customHeight="1">
      <c r="A67" s="859"/>
      <c r="B67" s="1671" t="s">
        <v>1232</v>
      </c>
      <c r="C67" s="1671"/>
      <c r="D67" s="1671"/>
      <c r="E67" s="1671"/>
      <c r="F67" s="1671"/>
      <c r="G67" s="1671"/>
      <c r="H67" s="1671"/>
      <c r="I67" s="1671"/>
      <c r="J67" s="1671"/>
      <c r="L67" s="849"/>
      <c r="M67" s="850"/>
      <c r="N67" s="849"/>
      <c r="O67" s="849"/>
      <c r="P67" s="849"/>
      <c r="Q67" s="850"/>
      <c r="R67" s="849"/>
    </row>
    <row r="68" spans="1:18" s="852" customFormat="1" ht="20.25" customHeight="1">
      <c r="A68" s="851" t="s">
        <v>664</v>
      </c>
      <c r="B68" s="1674" t="s">
        <v>1233</v>
      </c>
      <c r="C68" s="1674"/>
      <c r="D68" s="1674"/>
      <c r="E68" s="1674"/>
      <c r="F68" s="1674"/>
      <c r="G68" s="1674"/>
      <c r="H68" s="1674"/>
      <c r="I68" s="1674"/>
      <c r="J68" s="1674"/>
      <c r="L68" s="853"/>
      <c r="M68" s="854"/>
      <c r="N68" s="853"/>
      <c r="O68" s="853"/>
      <c r="P68" s="853"/>
      <c r="Q68" s="854"/>
      <c r="R68" s="853"/>
    </row>
    <row r="69" spans="1:18" s="862" customFormat="1" ht="18.75" customHeight="1">
      <c r="A69" s="861" t="s">
        <v>984</v>
      </c>
      <c r="B69" s="1674" t="s">
        <v>1234</v>
      </c>
      <c r="C69" s="1685"/>
      <c r="D69" s="1685"/>
      <c r="E69" s="1685"/>
      <c r="F69" s="1685"/>
      <c r="G69" s="1685"/>
      <c r="H69" s="1685"/>
      <c r="I69" s="1685"/>
      <c r="J69" s="1685"/>
      <c r="L69" s="863"/>
      <c r="M69" s="864"/>
      <c r="N69" s="863"/>
      <c r="O69" s="863"/>
      <c r="P69" s="863"/>
      <c r="Q69" s="864"/>
      <c r="R69" s="863"/>
    </row>
    <row r="70" spans="1:18" s="848" customFormat="1" ht="58.5" customHeight="1">
      <c r="A70" s="865"/>
      <c r="B70" s="1671" t="s">
        <v>1044</v>
      </c>
      <c r="C70" s="1671"/>
      <c r="D70" s="1671"/>
      <c r="E70" s="1671"/>
      <c r="F70" s="1671"/>
      <c r="G70" s="1671"/>
      <c r="H70" s="1671"/>
      <c r="I70" s="1671"/>
      <c r="J70" s="1671"/>
      <c r="L70" s="849"/>
      <c r="M70" s="850"/>
      <c r="N70" s="849"/>
      <c r="O70" s="849"/>
      <c r="P70" s="849"/>
      <c r="Q70" s="850"/>
      <c r="R70" s="849"/>
    </row>
    <row r="71" spans="1:18" s="848" customFormat="1" ht="7.5" customHeight="1">
      <c r="A71" s="865"/>
      <c r="B71" s="1671"/>
      <c r="C71" s="1671"/>
      <c r="D71" s="1671"/>
      <c r="E71" s="1671"/>
      <c r="F71" s="1671"/>
      <c r="G71" s="1671"/>
      <c r="H71" s="1671"/>
      <c r="I71" s="1671"/>
      <c r="J71" s="1671"/>
      <c r="L71" s="849"/>
      <c r="M71" s="850"/>
      <c r="N71" s="849"/>
      <c r="O71" s="849"/>
      <c r="P71" s="849"/>
      <c r="Q71" s="850"/>
      <c r="R71" s="849"/>
    </row>
    <row r="72" spans="1:18" s="848" customFormat="1" ht="17.25" customHeight="1">
      <c r="A72" s="865"/>
      <c r="B72" s="1674" t="s">
        <v>1045</v>
      </c>
      <c r="C72" s="1674"/>
      <c r="D72" s="1674"/>
      <c r="E72" s="1674"/>
      <c r="F72" s="1674"/>
      <c r="G72" s="1674"/>
      <c r="H72" s="1674"/>
      <c r="I72" s="1674"/>
      <c r="J72" s="1674"/>
      <c r="K72" s="717"/>
      <c r="L72" s="717"/>
      <c r="M72" s="850"/>
      <c r="N72" s="849"/>
      <c r="O72" s="849"/>
      <c r="P72" s="849"/>
      <c r="Q72" s="850"/>
      <c r="R72" s="849"/>
    </row>
    <row r="73" spans="1:18" s="848" customFormat="1" ht="31.5" customHeight="1">
      <c r="A73" s="865" t="s">
        <v>983</v>
      </c>
      <c r="B73" s="1671" t="s">
        <v>978</v>
      </c>
      <c r="C73" s="1671"/>
      <c r="D73" s="1671"/>
      <c r="E73" s="1671"/>
      <c r="F73" s="1671"/>
      <c r="G73" s="1671"/>
      <c r="H73" s="1671"/>
      <c r="I73" s="1671"/>
      <c r="J73" s="1671"/>
      <c r="K73" s="866"/>
      <c r="L73" s="866"/>
      <c r="M73" s="850"/>
      <c r="N73" s="849"/>
      <c r="O73" s="849"/>
      <c r="P73" s="849"/>
      <c r="Q73" s="850"/>
      <c r="R73" s="849"/>
    </row>
    <row r="74" spans="1:18" s="848" customFormat="1" ht="31.5" customHeight="1">
      <c r="A74" s="865" t="s">
        <v>983</v>
      </c>
      <c r="B74" s="1671" t="s">
        <v>979</v>
      </c>
      <c r="C74" s="1671"/>
      <c r="D74" s="1671"/>
      <c r="E74" s="1671"/>
      <c r="F74" s="1671"/>
      <c r="G74" s="1671"/>
      <c r="H74" s="1671"/>
      <c r="I74" s="1671"/>
      <c r="J74" s="1671"/>
      <c r="K74" s="866"/>
      <c r="L74" s="866"/>
      <c r="M74" s="850"/>
      <c r="N74" s="849"/>
      <c r="O74" s="849"/>
      <c r="P74" s="849"/>
      <c r="Q74" s="850"/>
      <c r="R74" s="849"/>
    </row>
    <row r="75" spans="1:18" s="848" customFormat="1" ht="31.5" customHeight="1">
      <c r="A75" s="865" t="s">
        <v>983</v>
      </c>
      <c r="B75" s="1671" t="s">
        <v>980</v>
      </c>
      <c r="C75" s="1671"/>
      <c r="D75" s="1671"/>
      <c r="E75" s="1671"/>
      <c r="F75" s="1671"/>
      <c r="G75" s="1671"/>
      <c r="H75" s="1671"/>
      <c r="I75" s="1671"/>
      <c r="J75" s="1671"/>
      <c r="K75" s="717"/>
      <c r="L75" s="717"/>
      <c r="M75" s="850"/>
      <c r="N75" s="849"/>
      <c r="O75" s="849"/>
      <c r="P75" s="849"/>
      <c r="Q75" s="850"/>
      <c r="R75" s="849"/>
    </row>
    <row r="76" spans="1:18" s="848" customFormat="1" ht="18" customHeight="1">
      <c r="A76" s="865" t="s">
        <v>983</v>
      </c>
      <c r="B76" s="1671" t="s">
        <v>981</v>
      </c>
      <c r="C76" s="1671"/>
      <c r="D76" s="1671"/>
      <c r="E76" s="1671"/>
      <c r="F76" s="1671"/>
      <c r="G76" s="1671"/>
      <c r="H76" s="1671"/>
      <c r="I76" s="1671"/>
      <c r="J76" s="1671"/>
      <c r="K76" s="717"/>
      <c r="L76" s="717"/>
      <c r="M76" s="850"/>
      <c r="N76" s="849"/>
      <c r="O76" s="849"/>
      <c r="P76" s="849"/>
      <c r="Q76" s="850"/>
      <c r="R76" s="849"/>
    </row>
    <row r="77" spans="1:18" s="848" customFormat="1" ht="18" customHeight="1">
      <c r="A77" s="865" t="s">
        <v>983</v>
      </c>
      <c r="B77" s="1671" t="s">
        <v>982</v>
      </c>
      <c r="C77" s="1671"/>
      <c r="D77" s="1671"/>
      <c r="E77" s="1671"/>
      <c r="F77" s="1671"/>
      <c r="G77" s="1671"/>
      <c r="H77" s="1671"/>
      <c r="I77" s="1671"/>
      <c r="J77" s="1671"/>
      <c r="K77" s="717"/>
      <c r="L77" s="717"/>
      <c r="M77" s="850"/>
      <c r="N77" s="849"/>
      <c r="O77" s="849"/>
      <c r="P77" s="849"/>
      <c r="Q77" s="850"/>
      <c r="R77" s="849"/>
    </row>
    <row r="78" spans="1:18" s="848" customFormat="1" ht="46.5" customHeight="1">
      <c r="A78" s="867" t="s">
        <v>985</v>
      </c>
      <c r="B78" s="1674" t="s">
        <v>1238</v>
      </c>
      <c r="C78" s="1671"/>
      <c r="D78" s="1671"/>
      <c r="E78" s="1671"/>
      <c r="F78" s="1671"/>
      <c r="G78" s="1671"/>
      <c r="H78" s="1671"/>
      <c r="I78" s="1671"/>
      <c r="J78" s="1671"/>
      <c r="L78" s="849"/>
      <c r="M78" s="850"/>
      <c r="N78" s="849"/>
      <c r="O78" s="849"/>
      <c r="P78" s="849"/>
      <c r="Q78" s="850"/>
      <c r="R78" s="849"/>
    </row>
    <row r="79" spans="1:18" s="869" customFormat="1" ht="37.5" customHeight="1">
      <c r="A79" s="867"/>
      <c r="B79" s="1683" t="s">
        <v>188</v>
      </c>
      <c r="C79" s="1683"/>
      <c r="D79" s="1683"/>
      <c r="E79" s="1683"/>
      <c r="F79" s="1683"/>
      <c r="G79" s="1683"/>
      <c r="H79" s="1683"/>
      <c r="I79" s="1683"/>
      <c r="J79" s="1683"/>
      <c r="K79" s="868"/>
      <c r="L79" s="868"/>
    </row>
    <row r="80" spans="1:18" s="848" customFormat="1" ht="31.5" customHeight="1">
      <c r="A80" s="867" t="s">
        <v>986</v>
      </c>
      <c r="B80" s="1674" t="s">
        <v>1241</v>
      </c>
      <c r="C80" s="1671"/>
      <c r="D80" s="1671"/>
      <c r="E80" s="1671"/>
      <c r="F80" s="1671"/>
      <c r="G80" s="1671"/>
      <c r="H80" s="1671"/>
      <c r="I80" s="1671"/>
      <c r="J80" s="1671"/>
      <c r="L80" s="849"/>
      <c r="M80" s="850"/>
      <c r="N80" s="849"/>
      <c r="O80" s="849"/>
      <c r="P80" s="849"/>
      <c r="Q80" s="850"/>
      <c r="R80" s="849"/>
    </row>
    <row r="81" spans="1:18" s="869" customFormat="1" ht="24.75" hidden="1" customHeight="1">
      <c r="A81" s="867"/>
      <c r="B81" s="1686" t="s">
        <v>2</v>
      </c>
      <c r="C81" s="1686"/>
      <c r="D81" s="1686"/>
      <c r="E81" s="1686"/>
      <c r="F81" s="1686"/>
      <c r="G81" s="1686"/>
      <c r="H81" s="1686"/>
      <c r="I81" s="1686"/>
      <c r="J81" s="1686"/>
      <c r="K81" s="868"/>
      <c r="L81" s="868"/>
    </row>
    <row r="82" spans="1:18" s="848" customFormat="1" ht="21.75" customHeight="1">
      <c r="A82" s="851" t="s">
        <v>666</v>
      </c>
      <c r="B82" s="1674" t="s">
        <v>327</v>
      </c>
      <c r="C82" s="1674"/>
      <c r="D82" s="1674"/>
      <c r="E82" s="1674"/>
      <c r="F82" s="1674"/>
      <c r="G82" s="1674"/>
      <c r="H82" s="1674"/>
      <c r="I82" s="1674"/>
      <c r="J82" s="1674"/>
      <c r="L82" s="849"/>
      <c r="M82" s="850"/>
      <c r="N82" s="849"/>
      <c r="O82" s="849"/>
      <c r="P82" s="849"/>
      <c r="Q82" s="850"/>
      <c r="R82" s="849"/>
    </row>
    <row r="83" spans="1:18" s="852" customFormat="1" ht="38.25" customHeight="1">
      <c r="A83" s="871" t="s">
        <v>987</v>
      </c>
      <c r="B83" s="1674" t="s">
        <v>514</v>
      </c>
      <c r="C83" s="1674"/>
      <c r="D83" s="1674"/>
      <c r="E83" s="1674"/>
      <c r="F83" s="1674"/>
      <c r="G83" s="1674"/>
      <c r="H83" s="1674"/>
      <c r="I83" s="1674"/>
      <c r="J83" s="1674"/>
      <c r="L83" s="853"/>
      <c r="M83" s="854"/>
      <c r="N83" s="853"/>
      <c r="O83" s="853"/>
      <c r="P83" s="853"/>
      <c r="Q83" s="854"/>
      <c r="R83" s="853"/>
    </row>
    <row r="84" spans="1:18" s="848" customFormat="1" ht="21" customHeight="1">
      <c r="A84" s="865" t="s">
        <v>1389</v>
      </c>
      <c r="B84" s="1671" t="s">
        <v>1095</v>
      </c>
      <c r="C84" s="1671"/>
      <c r="D84" s="1671"/>
      <c r="E84" s="1671"/>
      <c r="F84" s="1671"/>
      <c r="G84" s="1671"/>
      <c r="H84" s="1671"/>
      <c r="I84" s="1671"/>
      <c r="J84" s="1671"/>
      <c r="L84" s="849"/>
      <c r="M84" s="850"/>
      <c r="N84" s="849"/>
      <c r="O84" s="849"/>
      <c r="P84" s="849"/>
      <c r="Q84" s="850"/>
      <c r="R84" s="849"/>
    </row>
    <row r="85" spans="1:18" s="848" customFormat="1" ht="20.25" customHeight="1">
      <c r="A85" s="865" t="s">
        <v>1389</v>
      </c>
      <c r="B85" s="1671" t="s">
        <v>1096</v>
      </c>
      <c r="C85" s="1671"/>
      <c r="D85" s="1671"/>
      <c r="E85" s="1671"/>
      <c r="F85" s="1671"/>
      <c r="G85" s="1671"/>
      <c r="H85" s="1671"/>
      <c r="I85" s="1671"/>
      <c r="J85" s="1671"/>
      <c r="L85" s="849"/>
      <c r="M85" s="850"/>
      <c r="N85" s="849"/>
      <c r="O85" s="849"/>
      <c r="P85" s="849"/>
      <c r="Q85" s="850"/>
      <c r="R85" s="849"/>
    </row>
    <row r="86" spans="1:18" s="848" customFormat="1" ht="8.25" customHeight="1">
      <c r="A86" s="865"/>
      <c r="B86" s="860"/>
      <c r="C86" s="860"/>
      <c r="D86" s="860"/>
      <c r="E86" s="860"/>
      <c r="F86" s="860"/>
      <c r="G86" s="860"/>
      <c r="H86" s="860"/>
      <c r="I86" s="860"/>
      <c r="J86" s="860"/>
      <c r="L86" s="849"/>
      <c r="M86" s="850"/>
      <c r="N86" s="849"/>
      <c r="O86" s="849"/>
      <c r="P86" s="849"/>
      <c r="Q86" s="850"/>
      <c r="R86" s="849"/>
    </row>
    <row r="87" spans="1:18" s="852" customFormat="1" ht="48.75" customHeight="1">
      <c r="A87" s="871" t="s">
        <v>988</v>
      </c>
      <c r="B87" s="1674" t="s">
        <v>1239</v>
      </c>
      <c r="C87" s="1674"/>
      <c r="D87" s="1674"/>
      <c r="E87" s="1674"/>
      <c r="F87" s="1674"/>
      <c r="G87" s="1674"/>
      <c r="H87" s="1674"/>
      <c r="I87" s="1674"/>
      <c r="J87" s="1674"/>
      <c r="L87" s="853"/>
      <c r="M87" s="854"/>
      <c r="N87" s="853"/>
      <c r="O87" s="853"/>
      <c r="P87" s="853"/>
      <c r="Q87" s="854"/>
      <c r="R87" s="853"/>
    </row>
    <row r="88" spans="1:18" s="848" customFormat="1" ht="18.75" customHeight="1">
      <c r="A88" s="871" t="s">
        <v>668</v>
      </c>
      <c r="B88" s="1674" t="s">
        <v>1134</v>
      </c>
      <c r="C88" s="1674"/>
      <c r="D88" s="1674"/>
      <c r="E88" s="1674"/>
      <c r="F88" s="1674"/>
      <c r="G88" s="1674"/>
      <c r="H88" s="1674"/>
      <c r="I88" s="1674"/>
      <c r="J88" s="1674"/>
      <c r="L88" s="872"/>
      <c r="M88" s="850"/>
      <c r="N88" s="849"/>
      <c r="O88" s="849"/>
      <c r="P88" s="849"/>
      <c r="Q88" s="850"/>
      <c r="R88" s="849"/>
    </row>
    <row r="89" spans="1:18" s="848" customFormat="1" ht="18" customHeight="1">
      <c r="A89" s="871" t="s">
        <v>1098</v>
      </c>
      <c r="B89" s="1674" t="s">
        <v>1097</v>
      </c>
      <c r="C89" s="1674"/>
      <c r="D89" s="1674"/>
      <c r="E89" s="1674"/>
      <c r="F89" s="1674"/>
      <c r="G89" s="1674"/>
      <c r="H89" s="1674"/>
      <c r="I89" s="1674"/>
      <c r="J89" s="1674"/>
      <c r="L89" s="872"/>
      <c r="M89" s="850"/>
      <c r="N89" s="849"/>
      <c r="O89" s="849"/>
      <c r="P89" s="849"/>
      <c r="Q89" s="850"/>
      <c r="R89" s="849"/>
    </row>
    <row r="90" spans="1:18" s="848" customFormat="1" ht="30.75" customHeight="1">
      <c r="A90" s="1383" t="s">
        <v>1389</v>
      </c>
      <c r="B90" s="1683" t="s">
        <v>3</v>
      </c>
      <c r="C90" s="1683"/>
      <c r="D90" s="1683"/>
      <c r="E90" s="1683"/>
      <c r="F90" s="1683"/>
      <c r="G90" s="1683"/>
      <c r="H90" s="1683"/>
      <c r="I90" s="1683"/>
      <c r="J90" s="1683"/>
      <c r="L90" s="872"/>
      <c r="M90" s="850"/>
      <c r="N90" s="849"/>
      <c r="O90" s="849"/>
      <c r="P90" s="849"/>
      <c r="Q90" s="850"/>
      <c r="R90" s="849"/>
    </row>
    <row r="91" spans="1:18" s="848" customFormat="1" ht="30.75" customHeight="1">
      <c r="A91" s="1383" t="s">
        <v>1389</v>
      </c>
      <c r="B91" s="1683" t="s">
        <v>4</v>
      </c>
      <c r="C91" s="1683"/>
      <c r="D91" s="1683"/>
      <c r="E91" s="1683"/>
      <c r="F91" s="1683"/>
      <c r="G91" s="1683"/>
      <c r="H91" s="1683"/>
      <c r="I91" s="1683"/>
      <c r="J91" s="1683"/>
      <c r="L91" s="872"/>
      <c r="M91" s="850"/>
      <c r="N91" s="849"/>
      <c r="O91" s="849"/>
      <c r="P91" s="849"/>
      <c r="Q91" s="850"/>
      <c r="R91" s="849"/>
    </row>
    <row r="92" spans="1:18" s="848" customFormat="1" ht="6" customHeight="1">
      <c r="A92" s="871"/>
      <c r="B92" s="1671"/>
      <c r="C92" s="1671"/>
      <c r="D92" s="1671"/>
      <c r="E92" s="1671"/>
      <c r="F92" s="1671"/>
      <c r="G92" s="1671"/>
      <c r="H92" s="1671"/>
      <c r="I92" s="1671"/>
      <c r="J92" s="1671"/>
      <c r="L92" s="872"/>
      <c r="M92" s="850"/>
      <c r="N92" s="849"/>
      <c r="O92" s="849"/>
      <c r="P92" s="849"/>
      <c r="Q92" s="850"/>
      <c r="R92" s="849"/>
    </row>
    <row r="93" spans="1:18" s="848" customFormat="1" ht="18.75" customHeight="1">
      <c r="A93" s="871" t="s">
        <v>1099</v>
      </c>
      <c r="B93" s="1674" t="s">
        <v>1390</v>
      </c>
      <c r="C93" s="1674"/>
      <c r="D93" s="1674"/>
      <c r="E93" s="1674"/>
      <c r="F93" s="1674"/>
      <c r="G93" s="1674"/>
      <c r="H93" s="1674"/>
      <c r="I93" s="1674"/>
      <c r="J93" s="1674"/>
      <c r="L93" s="872"/>
      <c r="M93" s="850"/>
      <c r="N93" s="849"/>
      <c r="O93" s="849"/>
      <c r="P93" s="849"/>
      <c r="Q93" s="850"/>
      <c r="R93" s="849"/>
    </row>
    <row r="94" spans="1:18" s="848" customFormat="1" ht="46.5" customHeight="1">
      <c r="A94" s="871"/>
      <c r="B94" s="1671" t="s">
        <v>1590</v>
      </c>
      <c r="C94" s="1671"/>
      <c r="D94" s="1671"/>
      <c r="E94" s="1671"/>
      <c r="F94" s="1671"/>
      <c r="G94" s="1671"/>
      <c r="H94" s="1671"/>
      <c r="I94" s="1671"/>
      <c r="J94" s="1671"/>
      <c r="L94" s="872"/>
      <c r="M94" s="850"/>
      <c r="N94" s="849"/>
      <c r="O94" s="849"/>
      <c r="P94" s="849"/>
      <c r="Q94" s="850"/>
      <c r="R94" s="849"/>
    </row>
    <row r="95" spans="1:18" s="848" customFormat="1" ht="20.25" customHeight="1">
      <c r="A95" s="871"/>
      <c r="B95" s="1678" t="s">
        <v>1592</v>
      </c>
      <c r="C95" s="1679"/>
      <c r="D95" s="1679"/>
      <c r="E95" s="1679"/>
      <c r="F95" s="1679"/>
      <c r="G95" s="1483"/>
      <c r="H95" s="1484"/>
      <c r="I95" s="1485"/>
      <c r="J95" s="1486" t="s">
        <v>1392</v>
      </c>
      <c r="L95" s="872"/>
      <c r="M95" s="850"/>
      <c r="N95" s="849"/>
      <c r="O95" s="849"/>
      <c r="P95" s="849"/>
      <c r="Q95" s="850"/>
      <c r="R95" s="849"/>
    </row>
    <row r="96" spans="1:18" s="848" customFormat="1" ht="18.75" customHeight="1">
      <c r="A96" s="871"/>
      <c r="B96" s="1669" t="s">
        <v>1393</v>
      </c>
      <c r="C96" s="1670"/>
      <c r="D96" s="1670"/>
      <c r="E96" s="1670"/>
      <c r="F96" s="1670"/>
      <c r="G96" s="1487"/>
      <c r="H96" s="1488"/>
      <c r="I96" s="1489"/>
      <c r="J96" s="1490" t="s">
        <v>1555</v>
      </c>
      <c r="L96" s="872"/>
      <c r="M96" s="850"/>
      <c r="N96" s="849"/>
      <c r="O96" s="849"/>
      <c r="P96" s="849"/>
      <c r="Q96" s="850"/>
      <c r="R96" s="849"/>
    </row>
    <row r="97" spans="1:18" s="848" customFormat="1" ht="18" customHeight="1">
      <c r="A97" s="871"/>
      <c r="B97" s="1680" t="s">
        <v>1394</v>
      </c>
      <c r="C97" s="1681"/>
      <c r="D97" s="1681"/>
      <c r="E97" s="1681"/>
      <c r="F97" s="1681"/>
      <c r="G97" s="1487"/>
      <c r="H97" s="1488"/>
      <c r="I97" s="1489"/>
      <c r="J97" s="1490" t="s">
        <v>1554</v>
      </c>
      <c r="K97" s="866"/>
      <c r="L97" s="866"/>
      <c r="M97" s="850"/>
      <c r="N97" s="849"/>
      <c r="O97" s="849"/>
      <c r="P97" s="849"/>
      <c r="Q97" s="850"/>
      <c r="R97" s="849"/>
    </row>
    <row r="98" spans="1:18" s="848" customFormat="1" ht="19.5" customHeight="1">
      <c r="A98" s="851"/>
      <c r="B98" s="1669" t="s">
        <v>1395</v>
      </c>
      <c r="C98" s="1670"/>
      <c r="D98" s="1670"/>
      <c r="E98" s="1670"/>
      <c r="F98" s="1670"/>
      <c r="G98" s="1487"/>
      <c r="H98" s="1488"/>
      <c r="I98" s="1489"/>
      <c r="J98" s="1490" t="s">
        <v>476</v>
      </c>
      <c r="L98" s="849"/>
      <c r="M98" s="850"/>
      <c r="N98" s="849"/>
      <c r="O98" s="849"/>
      <c r="P98" s="849"/>
      <c r="Q98" s="850"/>
      <c r="R98" s="849"/>
    </row>
    <row r="99" spans="1:18" s="848" customFormat="1" ht="21" customHeight="1">
      <c r="A99" s="859"/>
      <c r="B99" s="1669" t="s">
        <v>411</v>
      </c>
      <c r="C99" s="1670"/>
      <c r="D99" s="1670"/>
      <c r="E99" s="1670"/>
      <c r="F99" s="1670"/>
      <c r="G99" s="1487"/>
      <c r="H99" s="1488"/>
      <c r="I99" s="1489"/>
      <c r="J99" s="1490" t="s">
        <v>475</v>
      </c>
      <c r="L99" s="849"/>
      <c r="M99" s="850"/>
      <c r="N99" s="849"/>
      <c r="O99" s="849"/>
      <c r="P99" s="849"/>
      <c r="Q99" s="850"/>
      <c r="R99" s="849"/>
    </row>
    <row r="100" spans="1:18" s="848" customFormat="1" ht="21" hidden="1" customHeight="1">
      <c r="A100" s="859"/>
      <c r="B100" s="1687" t="s">
        <v>1135</v>
      </c>
      <c r="C100" s="1670"/>
      <c r="D100" s="1670"/>
      <c r="E100" s="1670"/>
      <c r="F100" s="1670"/>
      <c r="G100" s="1487"/>
      <c r="H100" s="1488"/>
      <c r="I100" s="1489"/>
      <c r="J100" s="1490" t="s">
        <v>1240</v>
      </c>
      <c r="L100" s="849"/>
      <c r="M100" s="850"/>
      <c r="N100" s="849"/>
      <c r="O100" s="849"/>
      <c r="P100" s="849"/>
      <c r="Q100" s="850"/>
      <c r="R100" s="849"/>
    </row>
    <row r="101" spans="1:18" s="848" customFormat="1" ht="9" customHeight="1">
      <c r="A101" s="859"/>
      <c r="B101" s="1161"/>
      <c r="C101" s="1161"/>
      <c r="D101" s="1161"/>
      <c r="E101" s="1161"/>
      <c r="F101" s="1161"/>
      <c r="G101" s="1161"/>
      <c r="H101" s="1162"/>
      <c r="I101" s="1161"/>
      <c r="J101" s="1163"/>
      <c r="L101" s="849"/>
      <c r="M101" s="850"/>
      <c r="N101" s="849"/>
      <c r="O101" s="849"/>
      <c r="P101" s="849"/>
      <c r="Q101" s="850"/>
      <c r="R101" s="849"/>
    </row>
    <row r="102" spans="1:18" s="869" customFormat="1" ht="20.25" customHeight="1">
      <c r="A102" s="1133" t="s">
        <v>669</v>
      </c>
      <c r="B102" s="1682" t="s">
        <v>1101</v>
      </c>
      <c r="C102" s="1682"/>
      <c r="D102" s="1682"/>
      <c r="E102" s="1682"/>
      <c r="F102" s="1682"/>
      <c r="G102" s="1682"/>
      <c r="H102" s="1682"/>
      <c r="I102" s="1682"/>
      <c r="J102" s="1682"/>
      <c r="K102" s="870"/>
      <c r="L102" s="870"/>
    </row>
    <row r="103" spans="1:18" s="869" customFormat="1" ht="30.75" customHeight="1">
      <c r="A103" s="871" t="s">
        <v>839</v>
      </c>
      <c r="B103" s="1674" t="s">
        <v>928</v>
      </c>
      <c r="C103" s="1671"/>
      <c r="D103" s="1671"/>
      <c r="E103" s="1671"/>
      <c r="F103" s="1671"/>
      <c r="G103" s="1671"/>
      <c r="H103" s="1671"/>
      <c r="I103" s="1671"/>
      <c r="J103" s="1671"/>
      <c r="K103" s="870"/>
      <c r="L103" s="870"/>
    </row>
    <row r="104" spans="1:18" s="869" customFormat="1" ht="31.5" customHeight="1">
      <c r="A104" s="1134" t="s">
        <v>1389</v>
      </c>
      <c r="B104" s="1671" t="s">
        <v>557</v>
      </c>
      <c r="C104" s="1671"/>
      <c r="D104" s="1671"/>
      <c r="E104" s="1671"/>
      <c r="F104" s="1671"/>
      <c r="G104" s="1671"/>
      <c r="H104" s="1671"/>
      <c r="I104" s="1671"/>
      <c r="J104" s="1671"/>
      <c r="K104" s="870"/>
      <c r="L104" s="870"/>
    </row>
    <row r="105" spans="1:18" s="869" customFormat="1" ht="18" customHeight="1">
      <c r="A105" s="1134" t="s">
        <v>1389</v>
      </c>
      <c r="B105" s="1671" t="s">
        <v>1102</v>
      </c>
      <c r="C105" s="1671"/>
      <c r="D105" s="1671"/>
      <c r="E105" s="1671"/>
      <c r="F105" s="1671"/>
      <c r="G105" s="1671"/>
      <c r="H105" s="1671"/>
      <c r="I105" s="1671"/>
      <c r="J105" s="1671"/>
      <c r="K105" s="870"/>
      <c r="L105" s="870"/>
    </row>
    <row r="106" spans="1:18" s="869" customFormat="1" ht="24" customHeight="1">
      <c r="A106" s="1134" t="s">
        <v>1389</v>
      </c>
      <c r="B106" s="1671" t="s">
        <v>1103</v>
      </c>
      <c r="C106" s="1671"/>
      <c r="D106" s="1671"/>
      <c r="E106" s="1671"/>
      <c r="F106" s="1671"/>
      <c r="G106" s="1671"/>
      <c r="H106" s="1671"/>
      <c r="I106" s="1671"/>
      <c r="J106" s="1671"/>
      <c r="K106" s="848"/>
      <c r="L106" s="870"/>
    </row>
    <row r="107" spans="1:18" s="869" customFormat="1" ht="3" customHeight="1">
      <c r="A107" s="1134"/>
      <c r="B107" s="860"/>
      <c r="C107" s="860"/>
      <c r="D107" s="860"/>
      <c r="E107" s="860"/>
      <c r="F107" s="860"/>
      <c r="G107" s="860"/>
      <c r="H107" s="860"/>
      <c r="I107" s="860"/>
      <c r="J107" s="860"/>
      <c r="K107" s="848"/>
      <c r="L107" s="870"/>
    </row>
    <row r="108" spans="1:18" s="869" customFormat="1" ht="32.25" customHeight="1">
      <c r="A108" s="871" t="s">
        <v>840</v>
      </c>
      <c r="B108" s="1674" t="s">
        <v>929</v>
      </c>
      <c r="C108" s="1674"/>
      <c r="D108" s="1674"/>
      <c r="E108" s="1674"/>
      <c r="F108" s="1674"/>
      <c r="G108" s="1674"/>
      <c r="H108" s="1674"/>
      <c r="I108" s="1674"/>
      <c r="J108" s="1674"/>
      <c r="K108" s="870"/>
      <c r="L108" s="870"/>
    </row>
    <row r="109" spans="1:18" s="869" customFormat="1" ht="46.5" customHeight="1">
      <c r="A109" s="1134" t="s">
        <v>1389</v>
      </c>
      <c r="B109" s="1683" t="s">
        <v>394</v>
      </c>
      <c r="C109" s="1671"/>
      <c r="D109" s="1671"/>
      <c r="E109" s="1671"/>
      <c r="F109" s="1671"/>
      <c r="G109" s="1671"/>
      <c r="H109" s="1671"/>
      <c r="I109" s="1671"/>
      <c r="J109" s="1671"/>
      <c r="K109" s="870"/>
      <c r="L109" s="870"/>
    </row>
    <row r="110" spans="1:18" s="869" customFormat="1" ht="6" customHeight="1">
      <c r="A110" s="1134"/>
      <c r="B110" s="1671"/>
      <c r="C110" s="1671"/>
      <c r="D110" s="1671"/>
      <c r="E110" s="1671"/>
      <c r="F110" s="1671"/>
      <c r="G110" s="1671"/>
      <c r="H110" s="1671"/>
      <c r="I110" s="1671"/>
      <c r="J110" s="1671"/>
      <c r="K110" s="870"/>
      <c r="L110" s="870"/>
    </row>
    <row r="111" spans="1:18" s="869" customFormat="1" ht="17.25" hidden="1" customHeight="1">
      <c r="A111" s="871" t="s">
        <v>841</v>
      </c>
      <c r="B111" s="1674" t="s">
        <v>1104</v>
      </c>
      <c r="C111" s="1674"/>
      <c r="D111" s="1674"/>
      <c r="E111" s="1674"/>
      <c r="F111" s="1674"/>
      <c r="G111" s="1674"/>
      <c r="H111" s="1674"/>
      <c r="I111" s="1674"/>
      <c r="J111" s="1674"/>
      <c r="K111" s="870"/>
      <c r="L111" s="870"/>
    </row>
    <row r="112" spans="1:18" s="869" customFormat="1" ht="34.5" hidden="1" customHeight="1">
      <c r="A112" s="1134" t="s">
        <v>1389</v>
      </c>
      <c r="B112" s="1671" t="s">
        <v>32</v>
      </c>
      <c r="C112" s="1671"/>
      <c r="D112" s="1671"/>
      <c r="E112" s="1671"/>
      <c r="F112" s="1671"/>
      <c r="G112" s="1671"/>
      <c r="H112" s="1671"/>
      <c r="I112" s="1671"/>
      <c r="J112" s="1671"/>
      <c r="K112" s="870"/>
      <c r="L112" s="870"/>
    </row>
    <row r="113" spans="1:18" s="842" customFormat="1" ht="6.75" customHeight="1">
      <c r="B113" s="1692"/>
      <c r="C113" s="1692"/>
      <c r="D113" s="1692"/>
      <c r="E113" s="1692"/>
      <c r="F113" s="1692"/>
      <c r="G113" s="1692"/>
      <c r="H113" s="1692"/>
      <c r="I113" s="1692"/>
      <c r="J113" s="1692"/>
      <c r="K113" s="1146"/>
      <c r="L113" s="1146"/>
    </row>
    <row r="114" spans="1:18" s="869" customFormat="1" ht="21" customHeight="1">
      <c r="A114" s="851" t="s">
        <v>673</v>
      </c>
      <c r="B114" s="1674" t="s">
        <v>1100</v>
      </c>
      <c r="C114" s="1674"/>
      <c r="D114" s="1674"/>
      <c r="E114" s="1674"/>
      <c r="F114" s="1674"/>
      <c r="G114" s="1674"/>
      <c r="H114" s="1674"/>
      <c r="I114" s="1674"/>
      <c r="J114" s="1674"/>
      <c r="K114" s="870"/>
      <c r="L114" s="870"/>
    </row>
    <row r="115" spans="1:18" s="869" customFormat="1" ht="51.75" customHeight="1">
      <c r="B115" s="1671" t="s">
        <v>479</v>
      </c>
      <c r="C115" s="1671"/>
      <c r="D115" s="1671"/>
      <c r="E115" s="1671"/>
      <c r="F115" s="1671"/>
      <c r="G115" s="1671"/>
      <c r="H115" s="1671"/>
      <c r="I115" s="1671"/>
      <c r="J115" s="1671"/>
      <c r="K115" s="870"/>
      <c r="L115" s="870"/>
    </row>
    <row r="116" spans="1:18" s="869" customFormat="1" ht="32.25" customHeight="1">
      <c r="B116" s="1671" t="s">
        <v>480</v>
      </c>
      <c r="C116" s="1671"/>
      <c r="D116" s="1671"/>
      <c r="E116" s="1671"/>
      <c r="F116" s="1671"/>
      <c r="G116" s="1671"/>
      <c r="H116" s="1671"/>
      <c r="I116" s="1671"/>
      <c r="J116" s="1671"/>
      <c r="K116" s="870"/>
      <c r="L116" s="870"/>
    </row>
    <row r="117" spans="1:18" s="869" customFormat="1" ht="48" customHeight="1">
      <c r="B117" s="1671" t="s">
        <v>481</v>
      </c>
      <c r="C117" s="1671"/>
      <c r="D117" s="1671"/>
      <c r="E117" s="1671"/>
      <c r="F117" s="1671"/>
      <c r="G117" s="1671"/>
      <c r="H117" s="1671"/>
      <c r="I117" s="1671"/>
      <c r="J117" s="1671"/>
      <c r="K117" s="870"/>
      <c r="L117" s="870"/>
    </row>
    <row r="118" spans="1:18" s="869" customFormat="1" ht="33" customHeight="1">
      <c r="B118" s="1671" t="s">
        <v>1298</v>
      </c>
      <c r="C118" s="1671"/>
      <c r="D118" s="1671"/>
      <c r="E118" s="1671"/>
      <c r="F118" s="1671"/>
      <c r="G118" s="1671"/>
      <c r="H118" s="1671"/>
      <c r="I118" s="1671"/>
      <c r="J118" s="1671"/>
      <c r="K118" s="870"/>
      <c r="L118" s="870"/>
    </row>
    <row r="119" spans="1:18" s="869" customFormat="1" ht="47.25" customHeight="1">
      <c r="B119" s="1671" t="s">
        <v>357</v>
      </c>
      <c r="C119" s="1671"/>
      <c r="D119" s="1671"/>
      <c r="E119" s="1671"/>
      <c r="F119" s="1671"/>
      <c r="G119" s="1671"/>
      <c r="H119" s="1671"/>
      <c r="I119" s="1671"/>
      <c r="J119" s="1671"/>
      <c r="K119" s="870"/>
      <c r="L119" s="870"/>
    </row>
    <row r="120" spans="1:18" s="848" customFormat="1" ht="16.5" customHeight="1">
      <c r="A120" s="1133" t="s">
        <v>676</v>
      </c>
      <c r="B120" s="1674" t="s">
        <v>1107</v>
      </c>
      <c r="C120" s="1674"/>
      <c r="D120" s="1674"/>
      <c r="E120" s="1674"/>
      <c r="F120" s="1674"/>
      <c r="G120" s="1674"/>
      <c r="H120" s="1674"/>
      <c r="I120" s="1674"/>
      <c r="J120" s="1674"/>
      <c r="L120" s="872"/>
      <c r="M120" s="850"/>
      <c r="N120" s="849"/>
      <c r="O120" s="849"/>
      <c r="P120" s="849"/>
      <c r="Q120" s="850"/>
      <c r="R120" s="849"/>
    </row>
    <row r="121" spans="1:18" s="848" customFormat="1" ht="30.75" customHeight="1">
      <c r="A121" s="859"/>
      <c r="B121" s="1671" t="s">
        <v>1409</v>
      </c>
      <c r="C121" s="1671"/>
      <c r="D121" s="1671"/>
      <c r="E121" s="1671"/>
      <c r="F121" s="1671"/>
      <c r="G121" s="1671"/>
      <c r="H121" s="1671"/>
      <c r="I121" s="1671"/>
      <c r="J121" s="1671"/>
      <c r="L121" s="849"/>
      <c r="M121" s="850"/>
      <c r="N121" s="849"/>
      <c r="O121" s="849"/>
      <c r="P121" s="849"/>
      <c r="Q121" s="850"/>
      <c r="R121" s="849"/>
    </row>
    <row r="122" spans="1:18" s="848" customFormat="1" ht="30" customHeight="1">
      <c r="A122" s="859"/>
      <c r="B122" s="1671" t="s">
        <v>1410</v>
      </c>
      <c r="C122" s="1671"/>
      <c r="D122" s="1671"/>
      <c r="E122" s="1671"/>
      <c r="F122" s="1671"/>
      <c r="G122" s="1671"/>
      <c r="H122" s="1671"/>
      <c r="I122" s="1671"/>
      <c r="J122" s="1671"/>
      <c r="L122" s="849"/>
      <c r="M122" s="850"/>
      <c r="N122" s="849"/>
      <c r="O122" s="849"/>
      <c r="P122" s="849"/>
      <c r="Q122" s="850"/>
      <c r="R122" s="849"/>
    </row>
    <row r="123" spans="1:18" s="848" customFormat="1" ht="21" customHeight="1">
      <c r="A123" s="859" t="s">
        <v>983</v>
      </c>
      <c r="B123" s="1683" t="s">
        <v>1664</v>
      </c>
      <c r="C123" s="1671"/>
      <c r="D123" s="1671"/>
      <c r="E123" s="1671"/>
      <c r="F123" s="1671"/>
      <c r="G123" s="1671"/>
      <c r="H123" s="1671"/>
      <c r="I123" s="1671"/>
      <c r="J123" s="1671"/>
      <c r="L123" s="872"/>
      <c r="M123" s="850"/>
      <c r="N123" s="849"/>
      <c r="O123" s="849"/>
      <c r="P123" s="849"/>
      <c r="Q123" s="850"/>
      <c r="R123" s="849"/>
    </row>
    <row r="124" spans="1:18" s="848" customFormat="1" ht="20.25" customHeight="1">
      <c r="A124" s="859" t="s">
        <v>983</v>
      </c>
      <c r="B124" s="1671" t="s">
        <v>329</v>
      </c>
      <c r="C124" s="1671"/>
      <c r="D124" s="1671"/>
      <c r="E124" s="1671"/>
      <c r="F124" s="1671"/>
      <c r="G124" s="1671"/>
      <c r="H124" s="1671"/>
      <c r="I124" s="1671"/>
      <c r="J124" s="1671"/>
      <c r="L124" s="872"/>
      <c r="M124" s="850"/>
      <c r="N124" s="849"/>
      <c r="O124" s="849"/>
      <c r="P124" s="849"/>
      <c r="Q124" s="850"/>
      <c r="R124" s="849"/>
    </row>
    <row r="125" spans="1:18" s="869" customFormat="1" ht="3.75" customHeight="1">
      <c r="B125" s="860"/>
      <c r="C125" s="860"/>
      <c r="D125" s="860"/>
      <c r="E125" s="860"/>
      <c r="F125" s="860"/>
      <c r="G125" s="860"/>
      <c r="H125" s="860"/>
      <c r="I125" s="860"/>
      <c r="J125" s="860"/>
      <c r="K125" s="870"/>
      <c r="L125" s="870"/>
    </row>
    <row r="126" spans="1:18" s="852" customFormat="1" ht="18.75" customHeight="1">
      <c r="A126" s="1133" t="s">
        <v>678</v>
      </c>
      <c r="B126" s="1674" t="s">
        <v>328</v>
      </c>
      <c r="C126" s="1674"/>
      <c r="D126" s="1674"/>
      <c r="E126" s="1674"/>
      <c r="F126" s="1674"/>
      <c r="G126" s="1674"/>
      <c r="H126" s="1674"/>
      <c r="I126" s="1674"/>
      <c r="J126" s="1674"/>
      <c r="L126" s="873"/>
      <c r="M126" s="854"/>
      <c r="N126" s="853"/>
      <c r="O126" s="853"/>
      <c r="P126" s="853"/>
      <c r="Q126" s="854"/>
      <c r="R126" s="853"/>
    </row>
    <row r="127" spans="1:18" s="848" customFormat="1" ht="19.5" customHeight="1">
      <c r="A127" s="865"/>
      <c r="B127" s="1671" t="s">
        <v>1593</v>
      </c>
      <c r="C127" s="1671"/>
      <c r="D127" s="1671"/>
      <c r="E127" s="1671"/>
      <c r="F127" s="1671"/>
      <c r="G127" s="1671"/>
      <c r="H127" s="1671"/>
      <c r="I127" s="1671"/>
      <c r="J127" s="1671"/>
      <c r="L127" s="849"/>
      <c r="M127" s="850"/>
      <c r="N127" s="849"/>
      <c r="O127" s="849"/>
      <c r="P127" s="849"/>
      <c r="Q127" s="850"/>
      <c r="R127" s="849"/>
    </row>
    <row r="128" spans="1:18" s="848" customFormat="1" ht="19.5" customHeight="1">
      <c r="A128" s="1134" t="s">
        <v>1389</v>
      </c>
      <c r="B128" s="1671" t="s">
        <v>1105</v>
      </c>
      <c r="C128" s="1671"/>
      <c r="D128" s="1671"/>
      <c r="E128" s="1671"/>
      <c r="F128" s="1671"/>
      <c r="G128" s="1671"/>
      <c r="H128" s="1671"/>
      <c r="I128" s="1671"/>
      <c r="J128" s="1671"/>
      <c r="L128" s="849"/>
      <c r="M128" s="850"/>
      <c r="N128" s="849"/>
      <c r="O128" s="849"/>
      <c r="P128" s="849"/>
      <c r="Q128" s="850"/>
      <c r="R128" s="849"/>
    </row>
    <row r="129" spans="1:18" s="848" customFormat="1" ht="18" customHeight="1">
      <c r="A129" s="1134" t="s">
        <v>1389</v>
      </c>
      <c r="B129" s="1671" t="s">
        <v>1106</v>
      </c>
      <c r="C129" s="1671"/>
      <c r="D129" s="1671"/>
      <c r="E129" s="1671"/>
      <c r="F129" s="1671"/>
      <c r="G129" s="1671"/>
      <c r="H129" s="1671"/>
      <c r="I129" s="1671"/>
      <c r="J129" s="1671"/>
      <c r="L129" s="849"/>
      <c r="M129" s="850"/>
      <c r="N129" s="849"/>
      <c r="O129" s="849"/>
      <c r="P129" s="849"/>
      <c r="Q129" s="850"/>
      <c r="R129" s="849"/>
    </row>
    <row r="130" spans="1:18" s="848" customFormat="1" ht="18" customHeight="1">
      <c r="A130" s="874"/>
      <c r="B130" s="1671" t="s">
        <v>1594</v>
      </c>
      <c r="C130" s="1671"/>
      <c r="D130" s="1671"/>
      <c r="E130" s="1671"/>
      <c r="F130" s="1671"/>
      <c r="G130" s="1671"/>
      <c r="H130" s="1671"/>
      <c r="I130" s="1671"/>
      <c r="J130" s="1671"/>
      <c r="L130" s="849"/>
      <c r="M130" s="850"/>
      <c r="N130" s="849"/>
      <c r="O130" s="849"/>
      <c r="P130" s="849"/>
      <c r="Q130" s="850"/>
      <c r="R130" s="849"/>
    </row>
    <row r="131" spans="1:18" s="848" customFormat="1" ht="18" customHeight="1">
      <c r="A131" s="874"/>
      <c r="B131" s="1671" t="s">
        <v>1606</v>
      </c>
      <c r="C131" s="1671"/>
      <c r="D131" s="1671"/>
      <c r="E131" s="1671"/>
      <c r="F131" s="1671"/>
      <c r="G131" s="1671"/>
      <c r="H131" s="1671"/>
      <c r="I131" s="1671"/>
      <c r="J131" s="1671"/>
      <c r="L131" s="849"/>
      <c r="M131" s="850"/>
      <c r="N131" s="849"/>
      <c r="O131" s="849"/>
      <c r="P131" s="849"/>
      <c r="Q131" s="850"/>
      <c r="R131" s="849"/>
    </row>
    <row r="132" spans="1:18" s="848" customFormat="1" ht="25.5" customHeight="1">
      <c r="A132" s="1133" t="s">
        <v>680</v>
      </c>
      <c r="B132" s="1674" t="s">
        <v>395</v>
      </c>
      <c r="C132" s="1674"/>
      <c r="D132" s="1674"/>
      <c r="E132" s="1674"/>
      <c r="F132" s="1674"/>
      <c r="G132" s="1674"/>
      <c r="H132" s="1674"/>
      <c r="I132" s="1674"/>
      <c r="J132" s="1674"/>
      <c r="L132" s="849"/>
      <c r="M132" s="850"/>
      <c r="N132" s="849"/>
      <c r="O132" s="849"/>
      <c r="P132" s="849"/>
      <c r="Q132" s="850"/>
      <c r="R132" s="849"/>
    </row>
    <row r="133" spans="1:18" s="848" customFormat="1" ht="75.75" customHeight="1">
      <c r="A133" s="871"/>
      <c r="B133" s="1671" t="s">
        <v>1408</v>
      </c>
      <c r="C133" s="1671"/>
      <c r="D133" s="1671"/>
      <c r="E133" s="1671"/>
      <c r="F133" s="1671"/>
      <c r="G133" s="1671"/>
      <c r="H133" s="1671"/>
      <c r="I133" s="1671"/>
      <c r="J133" s="1671"/>
      <c r="L133" s="849"/>
      <c r="M133" s="850"/>
      <c r="N133" s="849"/>
      <c r="O133" s="849"/>
      <c r="P133" s="849"/>
      <c r="Q133" s="850"/>
      <c r="R133" s="849"/>
    </row>
    <row r="134" spans="1:18" s="848" customFormat="1" ht="21" customHeight="1">
      <c r="A134" s="851">
        <v>10</v>
      </c>
      <c r="B134" s="1674" t="s">
        <v>398</v>
      </c>
      <c r="C134" s="1674"/>
      <c r="D134" s="1674"/>
      <c r="E134" s="1674"/>
      <c r="F134" s="1674"/>
      <c r="G134" s="1674"/>
      <c r="H134" s="1674"/>
      <c r="I134" s="1674"/>
      <c r="J134" s="1674"/>
      <c r="L134" s="849"/>
      <c r="M134" s="850"/>
      <c r="N134" s="849"/>
      <c r="O134" s="849"/>
      <c r="P134" s="849"/>
      <c r="Q134" s="850"/>
      <c r="R134" s="849"/>
    </row>
    <row r="135" spans="1:18" s="848" customFormat="1" ht="19.5" customHeight="1">
      <c r="A135" s="871"/>
      <c r="B135" s="1671" t="s">
        <v>1108</v>
      </c>
      <c r="C135" s="1671"/>
      <c r="D135" s="1671"/>
      <c r="E135" s="1671"/>
      <c r="F135" s="1671"/>
      <c r="G135" s="1671"/>
      <c r="H135" s="1671"/>
      <c r="I135" s="1671"/>
      <c r="J135" s="1671"/>
      <c r="L135" s="849"/>
      <c r="M135" s="850"/>
      <c r="N135" s="849"/>
      <c r="O135" s="849"/>
      <c r="P135" s="849"/>
      <c r="Q135" s="850"/>
      <c r="R135" s="849"/>
    </row>
    <row r="136" spans="1:18" s="848" customFormat="1" ht="33.75" customHeight="1">
      <c r="A136" s="875"/>
      <c r="B136" s="1683" t="s">
        <v>396</v>
      </c>
      <c r="C136" s="1671"/>
      <c r="D136" s="1671"/>
      <c r="E136" s="1671"/>
      <c r="F136" s="1671"/>
      <c r="G136" s="1671"/>
      <c r="H136" s="1671"/>
      <c r="I136" s="1671"/>
      <c r="J136" s="1671"/>
      <c r="L136" s="849"/>
      <c r="M136" s="850"/>
      <c r="N136" s="849"/>
      <c r="O136" s="849"/>
      <c r="P136" s="849"/>
      <c r="Q136" s="850"/>
      <c r="R136" s="849"/>
    </row>
    <row r="137" spans="1:18" s="1164" customFormat="1" ht="51" customHeight="1">
      <c r="A137" s="875"/>
      <c r="B137" s="1671" t="s">
        <v>1109</v>
      </c>
      <c r="C137" s="1671"/>
      <c r="D137" s="1671"/>
      <c r="E137" s="1671"/>
      <c r="F137" s="1671"/>
      <c r="G137" s="1671"/>
      <c r="H137" s="1671"/>
      <c r="I137" s="1671"/>
      <c r="J137" s="1671"/>
      <c r="L137" s="1167" t="s">
        <v>568</v>
      </c>
      <c r="M137" s="1166"/>
      <c r="N137" s="1165"/>
      <c r="O137" s="1165"/>
      <c r="P137" s="1165"/>
      <c r="Q137" s="1166"/>
      <c r="R137" s="1165"/>
    </row>
    <row r="138" spans="1:18" s="1164" customFormat="1" ht="20.25" customHeight="1">
      <c r="A138" s="851">
        <v>11</v>
      </c>
      <c r="B138" s="1674" t="s">
        <v>397</v>
      </c>
      <c r="C138" s="1674"/>
      <c r="D138" s="1674"/>
      <c r="E138" s="1674"/>
      <c r="F138" s="1674"/>
      <c r="G138" s="1674"/>
      <c r="H138" s="1674"/>
      <c r="I138" s="1674"/>
      <c r="J138" s="1674"/>
      <c r="L138" s="1167"/>
      <c r="M138" s="1166"/>
      <c r="N138" s="1165"/>
      <c r="O138" s="1165"/>
      <c r="P138" s="1165"/>
      <c r="Q138" s="1166"/>
      <c r="R138" s="1165"/>
    </row>
    <row r="139" spans="1:18" s="1164" customFormat="1" ht="51" customHeight="1">
      <c r="A139" s="875"/>
      <c r="B139" s="1683" t="s">
        <v>399</v>
      </c>
      <c r="C139" s="1671"/>
      <c r="D139" s="1671"/>
      <c r="E139" s="1671"/>
      <c r="F139" s="1671"/>
      <c r="G139" s="1671"/>
      <c r="H139" s="1671"/>
      <c r="I139" s="1671"/>
      <c r="J139" s="1671"/>
      <c r="L139" s="1167"/>
      <c r="M139" s="1166"/>
      <c r="N139" s="1165"/>
      <c r="O139" s="1165"/>
      <c r="P139" s="1165"/>
      <c r="Q139" s="1166"/>
      <c r="R139" s="1165"/>
    </row>
    <row r="140" spans="1:18" s="848" customFormat="1" ht="18.75" customHeight="1">
      <c r="A140" s="851">
        <v>12</v>
      </c>
      <c r="B140" s="1674" t="s">
        <v>1110</v>
      </c>
      <c r="C140" s="1674"/>
      <c r="D140" s="1674"/>
      <c r="E140" s="1674"/>
      <c r="F140" s="1674"/>
      <c r="G140" s="1674"/>
      <c r="H140" s="1674"/>
      <c r="I140" s="1674"/>
      <c r="J140" s="1674"/>
      <c r="L140" s="849"/>
      <c r="M140" s="850"/>
      <c r="N140" s="849"/>
      <c r="O140" s="849"/>
      <c r="P140" s="849"/>
      <c r="Q140" s="850"/>
      <c r="R140" s="849"/>
    </row>
    <row r="141" spans="1:18" s="848" customFormat="1" ht="24" customHeight="1">
      <c r="A141" s="871" t="s">
        <v>155</v>
      </c>
      <c r="B141" s="1674" t="s">
        <v>517</v>
      </c>
      <c r="C141" s="1674"/>
      <c r="D141" s="1674"/>
      <c r="E141" s="1674"/>
      <c r="F141" s="1674"/>
      <c r="G141" s="1674"/>
      <c r="H141" s="1674"/>
      <c r="I141" s="1674"/>
      <c r="J141" s="1674"/>
      <c r="L141" s="849"/>
      <c r="M141" s="850"/>
      <c r="N141" s="849"/>
      <c r="O141" s="849"/>
      <c r="P141" s="849"/>
      <c r="Q141" s="850"/>
      <c r="R141" s="849"/>
    </row>
    <row r="142" spans="1:18" s="848" customFormat="1" ht="32.25" customHeight="1">
      <c r="A142" s="875" t="s">
        <v>1389</v>
      </c>
      <c r="B142" s="1671" t="s">
        <v>522</v>
      </c>
      <c r="C142" s="1671"/>
      <c r="D142" s="1671"/>
      <c r="E142" s="1671"/>
      <c r="F142" s="1671"/>
      <c r="G142" s="1671"/>
      <c r="H142" s="1671"/>
      <c r="I142" s="1671"/>
      <c r="J142" s="1671"/>
      <c r="L142" s="849"/>
      <c r="M142" s="850"/>
      <c r="N142" s="849"/>
      <c r="O142" s="849"/>
      <c r="P142" s="849"/>
      <c r="Q142" s="850"/>
      <c r="R142" s="849"/>
    </row>
    <row r="143" spans="1:18" s="848" customFormat="1" ht="33.75" customHeight="1">
      <c r="A143" s="875" t="s">
        <v>1389</v>
      </c>
      <c r="B143" s="1671" t="s">
        <v>523</v>
      </c>
      <c r="C143" s="1671"/>
      <c r="D143" s="1671"/>
      <c r="E143" s="1671"/>
      <c r="F143" s="1671"/>
      <c r="G143" s="1671"/>
      <c r="H143" s="1671"/>
      <c r="I143" s="1671"/>
      <c r="J143" s="1671"/>
      <c r="L143" s="849"/>
      <c r="M143" s="850"/>
      <c r="N143" s="849"/>
      <c r="O143" s="849"/>
      <c r="P143" s="849"/>
      <c r="Q143" s="850"/>
      <c r="R143" s="849"/>
    </row>
    <row r="144" spans="1:18" s="848" customFormat="1" ht="22.5" customHeight="1">
      <c r="A144" s="875" t="s">
        <v>1389</v>
      </c>
      <c r="B144" s="1671" t="s">
        <v>524</v>
      </c>
      <c r="C144" s="1671"/>
      <c r="D144" s="1671"/>
      <c r="E144" s="1671"/>
      <c r="F144" s="1671"/>
      <c r="G144" s="1671"/>
      <c r="H144" s="1671"/>
      <c r="I144" s="1671"/>
      <c r="J144" s="1671"/>
      <c r="L144" s="849"/>
      <c r="M144" s="850"/>
      <c r="N144" s="849"/>
      <c r="O144" s="849"/>
      <c r="P144" s="849"/>
      <c r="Q144" s="850"/>
      <c r="R144" s="849"/>
    </row>
    <row r="145" spans="1:18" s="848" customFormat="1" ht="23.25" customHeight="1">
      <c r="A145" s="875" t="s">
        <v>1389</v>
      </c>
      <c r="B145" s="1671" t="s">
        <v>525</v>
      </c>
      <c r="C145" s="1671"/>
      <c r="D145" s="1671"/>
      <c r="E145" s="1671"/>
      <c r="F145" s="1671"/>
      <c r="G145" s="1671"/>
      <c r="H145" s="1671"/>
      <c r="I145" s="1671"/>
      <c r="J145" s="1671"/>
      <c r="L145" s="849"/>
      <c r="M145" s="850"/>
      <c r="N145" s="849"/>
      <c r="O145" s="849"/>
      <c r="P145" s="849"/>
      <c r="Q145" s="850"/>
      <c r="R145" s="849"/>
    </row>
    <row r="146" spans="1:18" s="848" customFormat="1" ht="22.5" customHeight="1">
      <c r="A146" s="875" t="s">
        <v>1389</v>
      </c>
      <c r="B146" s="1671" t="s">
        <v>526</v>
      </c>
      <c r="C146" s="1671"/>
      <c r="D146" s="1671"/>
      <c r="E146" s="1671"/>
      <c r="F146" s="1671"/>
      <c r="G146" s="1671"/>
      <c r="H146" s="1671"/>
      <c r="I146" s="1671"/>
      <c r="J146" s="1671"/>
      <c r="L146" s="849"/>
      <c r="M146" s="850"/>
      <c r="N146" s="849"/>
      <c r="O146" s="849"/>
      <c r="P146" s="849"/>
      <c r="Q146" s="850"/>
      <c r="R146" s="849"/>
    </row>
    <row r="147" spans="1:18" s="848" customFormat="1" ht="24" customHeight="1">
      <c r="A147" s="875"/>
      <c r="B147" s="1683" t="s">
        <v>154</v>
      </c>
      <c r="C147" s="1671"/>
      <c r="D147" s="1671"/>
      <c r="E147" s="1671"/>
      <c r="F147" s="1671"/>
      <c r="G147" s="1671"/>
      <c r="H147" s="1671"/>
      <c r="I147" s="1671"/>
      <c r="J147" s="1671"/>
      <c r="L147" s="849"/>
      <c r="M147" s="850"/>
      <c r="N147" s="849"/>
      <c r="O147" s="849"/>
      <c r="P147" s="849"/>
      <c r="Q147" s="850"/>
      <c r="R147" s="849"/>
    </row>
    <row r="148" spans="1:18" s="848" customFormat="1" ht="49.5" customHeight="1">
      <c r="A148" s="871" t="s">
        <v>156</v>
      </c>
      <c r="B148" s="1674" t="s">
        <v>189</v>
      </c>
      <c r="C148" s="1671"/>
      <c r="D148" s="1671"/>
      <c r="E148" s="1671"/>
      <c r="F148" s="1671"/>
      <c r="G148" s="1671"/>
      <c r="H148" s="1671"/>
      <c r="I148" s="1671"/>
      <c r="J148" s="1671"/>
      <c r="L148" s="849"/>
      <c r="M148" s="850"/>
      <c r="N148" s="849"/>
      <c r="O148" s="849"/>
      <c r="P148" s="849"/>
      <c r="Q148" s="850"/>
      <c r="R148" s="849"/>
    </row>
    <row r="149" spans="1:18" s="848" customFormat="1" ht="18.75" hidden="1" customHeight="1">
      <c r="A149" s="875" t="s">
        <v>1389</v>
      </c>
      <c r="B149" s="1683" t="s">
        <v>524</v>
      </c>
      <c r="C149" s="1671"/>
      <c r="D149" s="1671"/>
      <c r="E149" s="1671"/>
      <c r="F149" s="1671"/>
      <c r="G149" s="1671"/>
      <c r="H149" s="1671"/>
      <c r="I149" s="1671"/>
      <c r="J149" s="1671"/>
      <c r="L149" s="849"/>
      <c r="M149" s="850"/>
      <c r="N149" s="849"/>
      <c r="O149" s="849"/>
      <c r="P149" s="849"/>
      <c r="Q149" s="850"/>
      <c r="R149" s="849"/>
    </row>
    <row r="150" spans="1:18" s="848" customFormat="1" ht="20.25" hidden="1" customHeight="1">
      <c r="A150" s="875" t="s">
        <v>1389</v>
      </c>
      <c r="B150" s="1671" t="s">
        <v>1112</v>
      </c>
      <c r="C150" s="1671"/>
      <c r="D150" s="1671"/>
      <c r="E150" s="1671"/>
      <c r="F150" s="1671"/>
      <c r="G150" s="1671"/>
      <c r="H150" s="1671"/>
      <c r="I150" s="1671"/>
      <c r="J150" s="1671"/>
      <c r="L150" s="849"/>
      <c r="M150" s="850"/>
      <c r="N150" s="849"/>
      <c r="O150" s="849"/>
      <c r="P150" s="849"/>
      <c r="Q150" s="850"/>
      <c r="R150" s="849"/>
    </row>
    <row r="151" spans="1:18" s="848" customFormat="1" ht="21" hidden="1" customHeight="1">
      <c r="A151" s="875" t="s">
        <v>1389</v>
      </c>
      <c r="B151" s="1671" t="s">
        <v>553</v>
      </c>
      <c r="C151" s="1671"/>
      <c r="D151" s="1671"/>
      <c r="E151" s="1671"/>
      <c r="F151" s="1671"/>
      <c r="G151" s="1671"/>
      <c r="H151" s="1671"/>
      <c r="I151" s="1671"/>
      <c r="J151" s="1671"/>
      <c r="L151" s="849"/>
      <c r="M151" s="850"/>
      <c r="N151" s="849"/>
      <c r="O151" s="849"/>
      <c r="P151" s="849"/>
      <c r="Q151" s="850"/>
      <c r="R151" s="849"/>
    </row>
    <row r="152" spans="1:18" s="848" customFormat="1" ht="24" hidden="1" customHeight="1">
      <c r="A152" s="875" t="s">
        <v>1389</v>
      </c>
      <c r="B152" s="1683" t="s">
        <v>1665</v>
      </c>
      <c r="C152" s="1671"/>
      <c r="D152" s="1671"/>
      <c r="E152" s="1671"/>
      <c r="F152" s="1671"/>
      <c r="G152" s="1671"/>
      <c r="H152" s="1671"/>
      <c r="I152" s="1671"/>
      <c r="J152" s="1671"/>
      <c r="L152" s="849"/>
      <c r="M152" s="850"/>
      <c r="N152" s="849"/>
      <c r="O152" s="849"/>
      <c r="P152" s="849"/>
      <c r="Q152" s="850"/>
      <c r="R152" s="849"/>
    </row>
    <row r="153" spans="1:18" s="848" customFormat="1" ht="38.25" hidden="1" customHeight="1">
      <c r="A153" s="875"/>
      <c r="B153" s="1671" t="s">
        <v>1111</v>
      </c>
      <c r="C153" s="1671"/>
      <c r="D153" s="1671"/>
      <c r="E153" s="1671"/>
      <c r="F153" s="1671"/>
      <c r="G153" s="1671"/>
      <c r="H153" s="1671"/>
      <c r="I153" s="1671"/>
      <c r="J153" s="1671"/>
      <c r="L153" s="849"/>
      <c r="M153" s="850"/>
      <c r="N153" s="849"/>
      <c r="O153" s="849"/>
      <c r="P153" s="849"/>
      <c r="Q153" s="850"/>
      <c r="R153" s="849"/>
    </row>
    <row r="154" spans="1:18" s="848" customFormat="1" ht="46.5" customHeight="1">
      <c r="A154" s="871" t="s">
        <v>157</v>
      </c>
      <c r="B154" s="1674" t="s">
        <v>554</v>
      </c>
      <c r="C154" s="1671"/>
      <c r="D154" s="1671"/>
      <c r="E154" s="1671"/>
      <c r="F154" s="1671"/>
      <c r="G154" s="1671"/>
      <c r="H154" s="1671"/>
      <c r="I154" s="1671"/>
      <c r="J154" s="1671"/>
      <c r="L154" s="849"/>
      <c r="M154" s="850"/>
      <c r="N154" s="849"/>
      <c r="O154" s="849"/>
      <c r="P154" s="849"/>
      <c r="Q154" s="850"/>
      <c r="R154" s="849"/>
    </row>
    <row r="155" spans="1:18" s="848" customFormat="1" ht="21" customHeight="1">
      <c r="A155" s="875" t="s">
        <v>1389</v>
      </c>
      <c r="B155" s="1671" t="s">
        <v>527</v>
      </c>
      <c r="C155" s="1671"/>
      <c r="D155" s="1671"/>
      <c r="E155" s="1671"/>
      <c r="F155" s="1671"/>
      <c r="G155" s="1671"/>
      <c r="H155" s="1671"/>
      <c r="I155" s="1671"/>
      <c r="J155" s="1671"/>
      <c r="L155" s="849"/>
      <c r="M155" s="850"/>
      <c r="N155" s="849"/>
      <c r="O155" s="849"/>
      <c r="P155" s="849"/>
      <c r="Q155" s="850"/>
      <c r="R155" s="849"/>
    </row>
    <row r="156" spans="1:18" s="848" customFormat="1" ht="20.25" customHeight="1">
      <c r="A156" s="875" t="s">
        <v>1389</v>
      </c>
      <c r="B156" s="1671" t="s">
        <v>528</v>
      </c>
      <c r="C156" s="1671"/>
      <c r="D156" s="1671"/>
      <c r="E156" s="1671"/>
      <c r="F156" s="1671"/>
      <c r="G156" s="1671"/>
      <c r="H156" s="1671"/>
      <c r="I156" s="1671"/>
      <c r="J156" s="1671"/>
      <c r="L156" s="849"/>
      <c r="M156" s="850"/>
      <c r="N156" s="849"/>
      <c r="O156" s="849"/>
      <c r="P156" s="849"/>
      <c r="Q156" s="850"/>
      <c r="R156" s="849"/>
    </row>
    <row r="157" spans="1:18" s="848" customFormat="1" ht="20.25" hidden="1" customHeight="1">
      <c r="A157" s="631" t="s">
        <v>691</v>
      </c>
      <c r="B157" s="1673" t="s">
        <v>639</v>
      </c>
      <c r="C157" s="1673"/>
      <c r="D157" s="1673"/>
      <c r="E157" s="1673"/>
      <c r="F157" s="1673"/>
      <c r="G157" s="1673"/>
      <c r="H157" s="1673"/>
      <c r="I157" s="1673"/>
      <c r="J157" s="1673"/>
      <c r="L157" s="849"/>
      <c r="M157" s="850"/>
      <c r="N157" s="849"/>
      <c r="O157" s="849"/>
      <c r="P157" s="849"/>
      <c r="Q157" s="850"/>
      <c r="R157" s="849"/>
    </row>
    <row r="158" spans="1:18" s="848" customFormat="1" ht="52.5" hidden="1" customHeight="1">
      <c r="A158" s="1500" t="s">
        <v>599</v>
      </c>
      <c r="B158" s="1686" t="s">
        <v>920</v>
      </c>
      <c r="C158" s="1686"/>
      <c r="D158" s="1686"/>
      <c r="E158" s="1686"/>
      <c r="F158" s="1686"/>
      <c r="G158" s="1686"/>
      <c r="H158" s="1686"/>
      <c r="I158" s="1686"/>
      <c r="J158" s="1686"/>
      <c r="L158" s="849"/>
      <c r="M158" s="850"/>
      <c r="N158" s="849"/>
      <c r="O158" s="849"/>
      <c r="P158" s="849"/>
      <c r="Q158" s="850"/>
      <c r="R158" s="849"/>
    </row>
    <row r="159" spans="1:18" s="848" customFormat="1" ht="6" hidden="1" customHeight="1">
      <c r="A159" s="1500"/>
      <c r="B159" s="1362"/>
      <c r="C159" s="1362"/>
      <c r="D159" s="1362"/>
      <c r="E159" s="1362"/>
      <c r="F159" s="1362"/>
      <c r="G159" s="1362"/>
      <c r="H159" s="1362"/>
      <c r="I159" s="1362"/>
      <c r="J159" s="1362"/>
      <c r="L159" s="849"/>
      <c r="M159" s="850"/>
      <c r="N159" s="849"/>
      <c r="O159" s="849"/>
      <c r="P159" s="849"/>
      <c r="Q159" s="850"/>
      <c r="R159" s="849"/>
    </row>
    <row r="160" spans="1:18" s="848" customFormat="1" ht="64.5" hidden="1" customHeight="1">
      <c r="A160" s="1500" t="s">
        <v>599</v>
      </c>
      <c r="B160" s="1686" t="s">
        <v>1386</v>
      </c>
      <c r="C160" s="1686"/>
      <c r="D160" s="1686"/>
      <c r="E160" s="1686"/>
      <c r="F160" s="1686"/>
      <c r="G160" s="1686"/>
      <c r="H160" s="1686"/>
      <c r="I160" s="1686"/>
      <c r="J160" s="1686"/>
      <c r="L160" s="849"/>
      <c r="M160" s="850"/>
      <c r="N160" s="849"/>
      <c r="O160" s="849"/>
      <c r="P160" s="849"/>
      <c r="Q160" s="850"/>
      <c r="R160" s="849"/>
    </row>
    <row r="161" spans="1:18" s="848" customFormat="1" ht="8.25" customHeight="1">
      <c r="A161" s="875"/>
      <c r="B161" s="860"/>
      <c r="C161" s="860"/>
      <c r="D161" s="860"/>
      <c r="E161" s="860"/>
      <c r="F161" s="860"/>
      <c r="G161" s="860"/>
      <c r="H161" s="860"/>
      <c r="I161" s="860"/>
      <c r="J161" s="860"/>
      <c r="L161" s="849"/>
      <c r="M161" s="850"/>
      <c r="N161" s="849"/>
      <c r="O161" s="849"/>
      <c r="P161" s="849"/>
      <c r="Q161" s="850"/>
      <c r="R161" s="849"/>
    </row>
    <row r="162" spans="1:18" s="848" customFormat="1" ht="24.75" customHeight="1">
      <c r="A162" s="1135" t="s">
        <v>691</v>
      </c>
      <c r="B162" s="1674" t="s">
        <v>555</v>
      </c>
      <c r="C162" s="1674"/>
      <c r="D162" s="1674"/>
      <c r="E162" s="1674"/>
      <c r="F162" s="1674"/>
      <c r="G162" s="1674"/>
      <c r="H162" s="1674"/>
      <c r="I162" s="1674"/>
      <c r="J162" s="1674"/>
      <c r="L162" s="849"/>
      <c r="M162" s="850"/>
      <c r="N162" s="849"/>
      <c r="O162" s="849"/>
      <c r="P162" s="849"/>
      <c r="Q162" s="850"/>
      <c r="R162" s="849"/>
    </row>
    <row r="163" spans="1:18" s="848" customFormat="1" ht="38.25" customHeight="1">
      <c r="A163" s="865"/>
      <c r="B163" s="1671" t="s">
        <v>1299</v>
      </c>
      <c r="C163" s="1671"/>
      <c r="D163" s="1671"/>
      <c r="E163" s="1671"/>
      <c r="F163" s="1671"/>
      <c r="G163" s="1671"/>
      <c r="H163" s="1671"/>
      <c r="I163" s="1671"/>
      <c r="J163" s="1671"/>
      <c r="L163" s="849"/>
      <c r="M163" s="850"/>
      <c r="N163" s="849"/>
      <c r="O163" s="849"/>
      <c r="P163" s="849"/>
      <c r="Q163" s="850"/>
      <c r="R163" s="849"/>
    </row>
    <row r="164" spans="1:18" s="848" customFormat="1" ht="21" customHeight="1">
      <c r="A164" s="871" t="s">
        <v>692</v>
      </c>
      <c r="B164" s="1674" t="s">
        <v>190</v>
      </c>
      <c r="C164" s="1674"/>
      <c r="D164" s="1674"/>
      <c r="E164" s="1674"/>
      <c r="F164" s="1674"/>
      <c r="G164" s="1674"/>
      <c r="H164" s="1674"/>
      <c r="I164" s="1674"/>
      <c r="J164" s="1674"/>
      <c r="L164" s="849"/>
      <c r="M164" s="850"/>
      <c r="N164" s="849"/>
      <c r="O164" s="849"/>
      <c r="P164" s="849"/>
      <c r="Q164" s="850"/>
      <c r="R164" s="849"/>
    </row>
    <row r="165" spans="1:18" s="848" customFormat="1" ht="47.25" customHeight="1">
      <c r="A165" s="865"/>
      <c r="B165" s="1683" t="s">
        <v>191</v>
      </c>
      <c r="C165" s="1671"/>
      <c r="D165" s="1671"/>
      <c r="E165" s="1671"/>
      <c r="F165" s="1671"/>
      <c r="G165" s="1671"/>
      <c r="H165" s="1671"/>
      <c r="I165" s="1671"/>
      <c r="J165" s="1671"/>
      <c r="L165" s="849"/>
      <c r="M165" s="850"/>
      <c r="N165" s="849"/>
      <c r="O165" s="849"/>
      <c r="P165" s="849"/>
      <c r="Q165" s="850"/>
      <c r="R165" s="849"/>
    </row>
    <row r="166" spans="1:18" s="848" customFormat="1" ht="18.75" customHeight="1">
      <c r="A166" s="851" t="s">
        <v>693</v>
      </c>
      <c r="B166" s="1674" t="s">
        <v>1300</v>
      </c>
      <c r="C166" s="1671"/>
      <c r="D166" s="1671"/>
      <c r="E166" s="1671"/>
      <c r="F166" s="1671"/>
      <c r="G166" s="1671"/>
      <c r="H166" s="1671"/>
      <c r="I166" s="1671"/>
      <c r="J166" s="1671"/>
      <c r="L166" s="849"/>
      <c r="M166" s="850"/>
      <c r="N166" s="849"/>
      <c r="O166" s="849"/>
      <c r="P166" s="849"/>
      <c r="Q166" s="850"/>
      <c r="R166" s="849"/>
    </row>
    <row r="167" spans="1:18" s="848" customFormat="1" ht="60.75" customHeight="1">
      <c r="A167" s="851"/>
      <c r="B167" s="1683" t="s">
        <v>1301</v>
      </c>
      <c r="C167" s="1671"/>
      <c r="D167" s="1671"/>
      <c r="E167" s="1671"/>
      <c r="F167" s="1671"/>
      <c r="G167" s="1671"/>
      <c r="H167" s="1671"/>
      <c r="I167" s="1671"/>
      <c r="J167" s="1671"/>
      <c r="L167" s="849"/>
      <c r="M167" s="850"/>
      <c r="N167" s="849"/>
      <c r="O167" s="849"/>
      <c r="P167" s="849"/>
      <c r="Q167" s="850"/>
      <c r="R167" s="849"/>
    </row>
    <row r="168" spans="1:18" s="848" customFormat="1" ht="30.75" customHeight="1">
      <c r="A168" s="851"/>
      <c r="B168" s="1683" t="s">
        <v>1302</v>
      </c>
      <c r="C168" s="1671"/>
      <c r="D168" s="1671"/>
      <c r="E168" s="1671"/>
      <c r="F168" s="1671"/>
      <c r="G168" s="1671"/>
      <c r="H168" s="1671"/>
      <c r="I168" s="1671"/>
      <c r="J168" s="1671"/>
      <c r="L168" s="849"/>
      <c r="M168" s="850"/>
      <c r="N168" s="849"/>
      <c r="O168" s="849"/>
      <c r="P168" s="849"/>
      <c r="Q168" s="850"/>
      <c r="R168" s="849"/>
    </row>
    <row r="169" spans="1:18" s="848" customFormat="1" ht="21" customHeight="1">
      <c r="A169" s="851"/>
      <c r="B169" s="1683" t="s">
        <v>516</v>
      </c>
      <c r="C169" s="1671"/>
      <c r="D169" s="1671"/>
      <c r="E169" s="1671"/>
      <c r="F169" s="1671"/>
      <c r="G169" s="1671"/>
      <c r="H169" s="1671"/>
      <c r="I169" s="1671"/>
      <c r="J169" s="1671"/>
      <c r="L169" s="849"/>
      <c r="M169" s="850"/>
      <c r="N169" s="849"/>
      <c r="O169" s="849"/>
      <c r="P169" s="849"/>
      <c r="Q169" s="850"/>
      <c r="R169" s="849"/>
    </row>
    <row r="170" spans="1:18" s="598" customFormat="1" ht="5.25" customHeight="1">
      <c r="A170" s="855"/>
      <c r="B170" s="608"/>
      <c r="H170" s="599"/>
      <c r="I170" s="599"/>
      <c r="J170" s="599"/>
      <c r="L170" s="600"/>
      <c r="M170" s="601"/>
      <c r="N170" s="600"/>
      <c r="O170" s="600"/>
      <c r="P170" s="600"/>
      <c r="Q170" s="601"/>
      <c r="R170" s="600"/>
    </row>
    <row r="171" spans="1:18" s="598" customFormat="1" ht="36.75" customHeight="1">
      <c r="A171" s="594" t="s">
        <v>518</v>
      </c>
      <c r="B171" s="1703" t="s">
        <v>972</v>
      </c>
      <c r="C171" s="1703"/>
      <c r="D171" s="1703"/>
      <c r="E171" s="1703"/>
      <c r="F171" s="1703"/>
      <c r="G171" s="1703"/>
      <c r="H171" s="1703"/>
      <c r="I171" s="1703"/>
      <c r="J171" s="1703"/>
      <c r="L171" s="600"/>
      <c r="M171" s="601"/>
      <c r="N171" s="600"/>
      <c r="O171" s="600"/>
      <c r="P171" s="600"/>
      <c r="Q171" s="601"/>
      <c r="R171" s="600"/>
    </row>
    <row r="172" spans="1:18" ht="9" customHeight="1">
      <c r="L172" s="638"/>
      <c r="M172" s="639"/>
      <c r="N172" s="638"/>
      <c r="R172" s="638"/>
    </row>
    <row r="173" spans="1:18" s="598" customFormat="1" ht="18" customHeight="1">
      <c r="A173" s="609" t="s">
        <v>662</v>
      </c>
      <c r="B173" s="610" t="s">
        <v>932</v>
      </c>
      <c r="C173" s="611"/>
      <c r="D173" s="611"/>
      <c r="E173" s="611"/>
      <c r="F173" s="611"/>
      <c r="G173" s="611"/>
      <c r="H173" s="612" t="s">
        <v>1428</v>
      </c>
      <c r="I173" s="613"/>
      <c r="J173" s="1136" t="s">
        <v>256</v>
      </c>
      <c r="L173" s="596" t="s">
        <v>1341</v>
      </c>
      <c r="M173" s="597"/>
      <c r="N173" s="596" t="s">
        <v>766</v>
      </c>
      <c r="O173" s="600"/>
      <c r="P173" s="600"/>
      <c r="Q173" s="601"/>
      <c r="R173" s="596"/>
    </row>
    <row r="174" spans="1:18" s="598" customFormat="1" ht="4.5" customHeight="1">
      <c r="A174" s="609"/>
      <c r="B174" s="610"/>
      <c r="C174" s="611"/>
      <c r="D174" s="611"/>
      <c r="E174" s="611"/>
      <c r="F174" s="611"/>
      <c r="G174" s="611"/>
      <c r="H174" s="614"/>
      <c r="I174" s="613"/>
      <c r="J174" s="614"/>
      <c r="L174" s="596"/>
      <c r="M174" s="597"/>
      <c r="N174" s="596"/>
      <c r="O174" s="600"/>
      <c r="P174" s="600"/>
      <c r="Q174" s="601"/>
      <c r="R174" s="596"/>
    </row>
    <row r="175" spans="1:18" s="1252" customFormat="1" ht="18" customHeight="1">
      <c r="B175" s="1251" t="s">
        <v>158</v>
      </c>
      <c r="C175" s="1253"/>
      <c r="D175" s="1253"/>
      <c r="E175" s="1253"/>
      <c r="F175" s="1253"/>
      <c r="G175" s="1253"/>
      <c r="H175" s="1254">
        <v>2825531391</v>
      </c>
      <c r="I175" s="1254"/>
      <c r="J175" s="1254">
        <f>SUM(J176:J178)</f>
        <v>2036871993</v>
      </c>
      <c r="L175" s="1255"/>
      <c r="M175" s="1256"/>
      <c r="N175" s="1255"/>
      <c r="O175" s="1255"/>
      <c r="P175" s="1255"/>
      <c r="Q175" s="1256"/>
      <c r="R175" s="1255"/>
    </row>
    <row r="176" spans="1:18" s="641" customFormat="1" ht="18" hidden="1" customHeight="1">
      <c r="B176" s="1322" t="s">
        <v>294</v>
      </c>
      <c r="C176" s="1323"/>
      <c r="D176" s="1323"/>
      <c r="E176" s="1323"/>
      <c r="F176" s="1323"/>
      <c r="G176" s="1323"/>
      <c r="H176" s="1503">
        <v>28627722548</v>
      </c>
      <c r="I176" s="646"/>
      <c r="J176" s="646">
        <v>2029745539</v>
      </c>
      <c r="L176" s="642"/>
      <c r="M176" s="1324"/>
      <c r="N176" s="642"/>
      <c r="O176" s="642"/>
      <c r="P176" s="642"/>
      <c r="Q176" s="1324"/>
      <c r="R176" s="642"/>
    </row>
    <row r="177" spans="1:18" s="641" customFormat="1" ht="18" hidden="1" customHeight="1">
      <c r="B177" s="1672" t="s">
        <v>1222</v>
      </c>
      <c r="C177" s="1672"/>
      <c r="D177" s="1672"/>
      <c r="E177" s="1672"/>
      <c r="F177" s="1672"/>
      <c r="G177" s="1323"/>
      <c r="H177" s="646">
        <v>10051281</v>
      </c>
      <c r="I177" s="646"/>
      <c r="J177" s="646">
        <v>7126454</v>
      </c>
      <c r="L177" s="642"/>
      <c r="M177" s="1324"/>
      <c r="N177" s="642"/>
      <c r="O177" s="642"/>
      <c r="P177" s="642"/>
      <c r="Q177" s="1324"/>
      <c r="R177" s="642"/>
    </row>
    <row r="178" spans="1:18" s="641" customFormat="1" ht="18" hidden="1" customHeight="1">
      <c r="B178" s="1322" t="s">
        <v>295</v>
      </c>
      <c r="C178" s="1323"/>
      <c r="D178" s="1323"/>
      <c r="E178" s="1323"/>
      <c r="F178" s="1323"/>
      <c r="G178" s="1323"/>
      <c r="H178" s="646">
        <v>0</v>
      </c>
      <c r="I178" s="646"/>
      <c r="J178" s="646">
        <v>0</v>
      </c>
      <c r="L178" s="642"/>
      <c r="M178" s="1324"/>
      <c r="N178" s="642"/>
      <c r="O178" s="642"/>
      <c r="P178" s="642"/>
      <c r="Q178" s="1324"/>
      <c r="R178" s="642"/>
    </row>
    <row r="179" spans="1:18" s="1252" customFormat="1" ht="18" customHeight="1">
      <c r="B179" s="1250" t="s">
        <v>159</v>
      </c>
      <c r="C179" s="1253"/>
      <c r="D179" s="1253"/>
      <c r="E179" s="1253"/>
      <c r="F179" s="1253"/>
      <c r="G179" s="1253"/>
      <c r="H179" s="1254">
        <v>25828612735</v>
      </c>
      <c r="I179" s="1254"/>
      <c r="J179" s="1254">
        <f>SUM(J180:J182)</f>
        <v>11551234744</v>
      </c>
      <c r="L179" s="1255"/>
      <c r="M179" s="1256"/>
      <c r="N179" s="1255"/>
      <c r="O179" s="1255"/>
      <c r="P179" s="1255"/>
      <c r="Q179" s="1256"/>
      <c r="R179" s="1255"/>
    </row>
    <row r="180" spans="1:18" s="641" customFormat="1" ht="18" hidden="1" customHeight="1">
      <c r="B180" s="1322" t="s">
        <v>294</v>
      </c>
      <c r="C180" s="1323"/>
      <c r="D180" s="1323"/>
      <c r="E180" s="1323"/>
      <c r="F180" s="1323"/>
      <c r="G180" s="1323"/>
      <c r="H180" s="646">
        <v>17222504177</v>
      </c>
      <c r="I180" s="646"/>
      <c r="J180" s="646">
        <v>11546433356</v>
      </c>
      <c r="L180" s="642"/>
      <c r="M180" s="1324"/>
      <c r="N180" s="642"/>
      <c r="O180" s="1503">
        <v>26421578</v>
      </c>
      <c r="P180" s="642"/>
      <c r="Q180" s="1324"/>
      <c r="R180" s="642"/>
    </row>
    <row r="181" spans="1:18" s="641" customFormat="1" ht="18" hidden="1" customHeight="1">
      <c r="B181" s="1672" t="s">
        <v>1222</v>
      </c>
      <c r="C181" s="1672"/>
      <c r="D181" s="1672"/>
      <c r="E181" s="1672"/>
      <c r="F181" s="1672"/>
      <c r="G181" s="1323"/>
      <c r="H181" s="646">
        <v>1432041738</v>
      </c>
      <c r="I181" s="646"/>
      <c r="J181" s="646">
        <v>4801388</v>
      </c>
      <c r="L181" s="642"/>
      <c r="M181" s="1324"/>
      <c r="N181" s="642"/>
      <c r="O181" s="642"/>
      <c r="P181" s="642"/>
      <c r="Q181" s="1324"/>
      <c r="R181" s="642"/>
    </row>
    <row r="182" spans="1:18" s="641" customFormat="1" ht="18" hidden="1" customHeight="1">
      <c r="B182" s="1322" t="s">
        <v>295</v>
      </c>
      <c r="C182" s="1323"/>
      <c r="D182" s="1323"/>
      <c r="E182" s="1323"/>
      <c r="F182" s="1323"/>
      <c r="G182" s="1323"/>
      <c r="H182" s="646">
        <v>0</v>
      </c>
      <c r="I182" s="646"/>
      <c r="J182" s="646">
        <v>0</v>
      </c>
      <c r="L182" s="642"/>
      <c r="M182" s="1324"/>
      <c r="N182" s="642"/>
      <c r="O182" s="642"/>
      <c r="P182" s="642"/>
      <c r="Q182" s="1324"/>
      <c r="R182" s="642"/>
    </row>
    <row r="183" spans="1:18" s="641" customFormat="1" ht="18" customHeight="1">
      <c r="B183" s="1250" t="s">
        <v>581</v>
      </c>
      <c r="C183" s="1323"/>
      <c r="D183" s="1323"/>
      <c r="E183" s="1323"/>
      <c r="F183" s="1323"/>
      <c r="G183" s="1323"/>
      <c r="H183" s="1254">
        <f>H184</f>
        <v>0</v>
      </c>
      <c r="I183" s="646"/>
      <c r="J183" s="1254">
        <f>J184</f>
        <v>14000000000</v>
      </c>
      <c r="L183" s="642"/>
      <c r="M183" s="1324"/>
      <c r="N183" s="642"/>
      <c r="O183" s="642"/>
      <c r="P183" s="642"/>
      <c r="Q183" s="1324"/>
      <c r="R183" s="642"/>
    </row>
    <row r="184" spans="1:18" s="641" customFormat="1" ht="18" hidden="1" customHeight="1">
      <c r="B184" s="1322" t="s">
        <v>294</v>
      </c>
      <c r="C184" s="1323"/>
      <c r="D184" s="1323"/>
      <c r="E184" s="1323"/>
      <c r="F184" s="1323"/>
      <c r="G184" s="1323"/>
      <c r="H184" s="646">
        <f>H185+H186</f>
        <v>0</v>
      </c>
      <c r="I184" s="646"/>
      <c r="J184" s="646">
        <f>J185+J186</f>
        <v>14000000000</v>
      </c>
      <c r="L184" s="642"/>
      <c r="M184" s="1324"/>
      <c r="N184" s="642"/>
      <c r="O184" s="642"/>
      <c r="P184" s="642"/>
      <c r="Q184" s="1324"/>
      <c r="R184" s="642"/>
    </row>
    <row r="185" spans="1:18" s="641" customFormat="1" ht="18" hidden="1" customHeight="1">
      <c r="B185" s="1672" t="s">
        <v>582</v>
      </c>
      <c r="C185" s="1672"/>
      <c r="D185" s="1672"/>
      <c r="E185" s="1323"/>
      <c r="F185" s="1323"/>
      <c r="G185" s="1323"/>
      <c r="H185" s="646"/>
      <c r="I185" s="646"/>
      <c r="J185" s="646">
        <v>14000000000</v>
      </c>
      <c r="L185" s="642"/>
      <c r="M185" s="1324"/>
      <c r="N185" s="642"/>
      <c r="O185" s="642"/>
      <c r="P185" s="642"/>
      <c r="Q185" s="1324"/>
      <c r="R185" s="642"/>
    </row>
    <row r="186" spans="1:18" s="641" customFormat="1" ht="18" hidden="1" customHeight="1">
      <c r="B186" s="1672" t="s">
        <v>583</v>
      </c>
      <c r="C186" s="1672"/>
      <c r="D186" s="1672"/>
      <c r="E186" s="1323"/>
      <c r="F186" s="1323"/>
      <c r="G186" s="1323"/>
      <c r="H186" s="646">
        <v>0</v>
      </c>
      <c r="I186" s="646"/>
      <c r="J186" s="646">
        <v>0</v>
      </c>
      <c r="L186" s="642"/>
      <c r="M186" s="1324"/>
      <c r="N186" s="642"/>
      <c r="O186" s="642"/>
      <c r="P186" s="642"/>
      <c r="Q186" s="1324"/>
      <c r="R186" s="642"/>
    </row>
    <row r="187" spans="1:18" s="618" customFormat="1" ht="15" customHeight="1">
      <c r="B187" s="619"/>
      <c r="C187" s="620"/>
      <c r="D187" s="620"/>
      <c r="E187" s="620"/>
      <c r="F187" s="620"/>
      <c r="G187" s="620"/>
      <c r="H187" s="838"/>
      <c r="I187" s="838"/>
      <c r="J187" s="838"/>
      <c r="K187" s="615"/>
      <c r="L187" s="596"/>
      <c r="M187" s="877"/>
      <c r="N187" s="596"/>
      <c r="O187" s="600"/>
      <c r="P187" s="600"/>
      <c r="Q187" s="622"/>
      <c r="R187" s="596"/>
    </row>
    <row r="188" spans="1:18" s="618" customFormat="1" ht="18" customHeight="1" thickBot="1">
      <c r="B188" s="627" t="s">
        <v>1571</v>
      </c>
      <c r="C188" s="628"/>
      <c r="D188" s="628"/>
      <c r="E188" s="628"/>
      <c r="F188" s="628"/>
      <c r="G188" s="616"/>
      <c r="H188" s="629">
        <f>H175+H179+H183</f>
        <v>28654144126</v>
      </c>
      <c r="I188" s="613"/>
      <c r="J188" s="629">
        <f>J175+J179+J183</f>
        <v>27588106737</v>
      </c>
      <c r="K188" s="878"/>
      <c r="L188" s="879">
        <f>H188-BS!L13</f>
        <v>0</v>
      </c>
      <c r="M188" s="879"/>
      <c r="N188" s="879">
        <f>J188-BS!N13</f>
        <v>0</v>
      </c>
      <c r="O188" s="600"/>
      <c r="P188" s="600"/>
      <c r="Q188" s="622"/>
      <c r="R188" s="596"/>
    </row>
    <row r="189" spans="1:18" ht="15.75" thickTop="1">
      <c r="A189" s="634"/>
      <c r="B189" s="826"/>
      <c r="C189" s="699"/>
      <c r="D189" s="699"/>
      <c r="E189" s="699"/>
      <c r="F189" s="699"/>
      <c r="G189" s="699"/>
    </row>
    <row r="190" spans="1:18" s="594" customFormat="1" ht="15">
      <c r="A190" s="609" t="s">
        <v>664</v>
      </c>
      <c r="B190" s="604" t="s">
        <v>1535</v>
      </c>
      <c r="H190" s="614"/>
      <c r="I190" s="614"/>
      <c r="J190" s="614"/>
      <c r="L190" s="596"/>
      <c r="M190" s="597"/>
      <c r="N190" s="596"/>
      <c r="O190" s="596"/>
      <c r="P190" s="596"/>
      <c r="Q190" s="597"/>
      <c r="R190" s="596"/>
    </row>
    <row r="191" spans="1:18" s="594" customFormat="1" ht="15">
      <c r="A191" s="609"/>
      <c r="B191" s="604"/>
      <c r="H191" s="614"/>
      <c r="I191" s="614"/>
      <c r="J191" s="614"/>
      <c r="L191" s="596"/>
      <c r="M191" s="597"/>
      <c r="N191" s="596"/>
      <c r="O191" s="596"/>
      <c r="P191" s="596"/>
      <c r="Q191" s="597"/>
      <c r="R191" s="596"/>
    </row>
    <row r="192" spans="1:18" s="598" customFormat="1" ht="15">
      <c r="B192" s="1701" t="s">
        <v>712</v>
      </c>
      <c r="C192" s="1284"/>
      <c r="D192" s="1698" t="s">
        <v>1428</v>
      </c>
      <c r="E192" s="1699"/>
      <c r="F192" s="1699"/>
      <c r="G192" s="1271"/>
      <c r="H192" s="1699" t="s">
        <v>256</v>
      </c>
      <c r="I192" s="1699"/>
      <c r="J192" s="1700"/>
      <c r="L192" s="600"/>
      <c r="M192" s="601"/>
      <c r="N192" s="600"/>
      <c r="O192" s="600"/>
      <c r="P192" s="600"/>
      <c r="Q192" s="601"/>
      <c r="R192" s="600"/>
    </row>
    <row r="193" spans="2:18" s="594" customFormat="1" ht="15">
      <c r="B193" s="1702"/>
      <c r="C193" s="1270"/>
      <c r="D193" s="652" t="s">
        <v>160</v>
      </c>
      <c r="E193" s="651"/>
      <c r="F193" s="650" t="s">
        <v>161</v>
      </c>
      <c r="G193" s="1268"/>
      <c r="H193" s="1269" t="s">
        <v>160</v>
      </c>
      <c r="I193" s="1272"/>
      <c r="J193" s="651" t="s">
        <v>161</v>
      </c>
      <c r="L193" s="596"/>
      <c r="M193" s="597"/>
      <c r="N193" s="596"/>
      <c r="O193" s="596"/>
      <c r="P193" s="596"/>
      <c r="Q193" s="597"/>
      <c r="R193" s="596"/>
    </row>
    <row r="194" spans="2:18" s="598" customFormat="1" ht="15">
      <c r="B194" s="1257" t="s">
        <v>162</v>
      </c>
      <c r="C194" s="601"/>
      <c r="D194" s="1274"/>
      <c r="E194" s="601"/>
      <c r="F194" s="1280">
        <f>SUM(F195:F208)</f>
        <v>8386931025</v>
      </c>
      <c r="G194" s="1267"/>
      <c r="H194" s="1281"/>
      <c r="I194" s="1276"/>
      <c r="J194" s="1282">
        <f>SUM(J195:J208)</f>
        <v>8386931025</v>
      </c>
      <c r="L194" s="600">
        <f>F194-BS!L17</f>
        <v>0</v>
      </c>
      <c r="M194" s="601"/>
      <c r="N194" s="600">
        <f>J194-BS!N17</f>
        <v>0</v>
      </c>
      <c r="O194" s="600"/>
      <c r="P194" s="600"/>
      <c r="Q194" s="601"/>
      <c r="R194" s="600"/>
    </row>
    <row r="195" spans="2:18" s="598" customFormat="1" ht="14.25">
      <c r="B195" s="1259" t="s">
        <v>584</v>
      </c>
      <c r="C195" s="601"/>
      <c r="D195" s="1330">
        <v>95000</v>
      </c>
      <c r="E195" s="601"/>
      <c r="F195" s="1273">
        <v>1565530000</v>
      </c>
      <c r="G195" s="1265"/>
      <c r="H195" s="1262">
        <v>95000</v>
      </c>
      <c r="I195" s="1273"/>
      <c r="J195" s="621">
        <v>1565530000</v>
      </c>
      <c r="L195" s="600"/>
      <c r="M195" s="601"/>
      <c r="N195" s="600"/>
      <c r="O195" s="600"/>
      <c r="P195" s="600"/>
      <c r="Q195" s="601"/>
      <c r="R195" s="600"/>
    </row>
    <row r="196" spans="2:18" s="598" customFormat="1" ht="14.25">
      <c r="B196" s="1259" t="s">
        <v>585</v>
      </c>
      <c r="C196" s="601"/>
      <c r="D196" s="1330">
        <v>29000</v>
      </c>
      <c r="E196" s="601"/>
      <c r="F196" s="1273">
        <v>920428500</v>
      </c>
      <c r="G196" s="1265"/>
      <c r="H196" s="1262">
        <v>29000</v>
      </c>
      <c r="I196" s="1273"/>
      <c r="J196" s="621">
        <v>920428500</v>
      </c>
      <c r="L196" s="600"/>
      <c r="M196" s="601"/>
      <c r="N196" s="600"/>
      <c r="O196" s="600"/>
      <c r="P196" s="600"/>
      <c r="Q196" s="601"/>
      <c r="R196" s="600"/>
    </row>
    <row r="197" spans="2:18" s="598" customFormat="1" ht="14.25">
      <c r="B197" s="1259" t="s">
        <v>586</v>
      </c>
      <c r="C197" s="601"/>
      <c r="D197" s="1330">
        <v>73500</v>
      </c>
      <c r="E197" s="601"/>
      <c r="F197" s="1273">
        <v>1339431325</v>
      </c>
      <c r="G197" s="1265"/>
      <c r="H197" s="621">
        <v>73500</v>
      </c>
      <c r="I197" s="1273"/>
      <c r="J197" s="1258">
        <v>1339431325</v>
      </c>
      <c r="L197" s="600"/>
      <c r="M197" s="601"/>
      <c r="N197" s="600"/>
      <c r="O197" s="600"/>
      <c r="P197" s="600"/>
      <c r="Q197" s="601"/>
      <c r="R197" s="600"/>
    </row>
    <row r="198" spans="2:18" s="598" customFormat="1" ht="14.25">
      <c r="B198" s="1259" t="s">
        <v>587</v>
      </c>
      <c r="C198" s="601"/>
      <c r="D198" s="1330">
        <v>103000</v>
      </c>
      <c r="E198" s="601"/>
      <c r="F198" s="1273">
        <v>1693684000</v>
      </c>
      <c r="G198" s="1265"/>
      <c r="H198" s="621">
        <v>103000</v>
      </c>
      <c r="I198" s="1273"/>
      <c r="J198" s="1258">
        <v>1693684000</v>
      </c>
      <c r="L198" s="600"/>
      <c r="M198" s="601"/>
      <c r="N198" s="600"/>
      <c r="O198" s="600"/>
      <c r="P198" s="600"/>
      <c r="Q198" s="601"/>
      <c r="R198" s="600"/>
    </row>
    <row r="199" spans="2:18" s="598" customFormat="1" ht="14.25">
      <c r="B199" s="1259" t="s">
        <v>588</v>
      </c>
      <c r="C199" s="601"/>
      <c r="D199" s="1330">
        <v>5280</v>
      </c>
      <c r="E199" s="601"/>
      <c r="F199" s="1273">
        <v>199020000</v>
      </c>
      <c r="G199" s="1265"/>
      <c r="H199" s="621">
        <v>5280</v>
      </c>
      <c r="I199" s="1273"/>
      <c r="J199" s="1258">
        <v>199020000</v>
      </c>
      <c r="L199" s="600"/>
      <c r="M199" s="601"/>
      <c r="N199" s="600"/>
      <c r="O199" s="600"/>
      <c r="P199" s="600"/>
      <c r="Q199" s="601"/>
      <c r="R199" s="600"/>
    </row>
    <row r="200" spans="2:18" s="598" customFormat="1" ht="14.25">
      <c r="B200" s="1259" t="s">
        <v>890</v>
      </c>
      <c r="C200" s="601"/>
      <c r="D200" s="1330">
        <v>51</v>
      </c>
      <c r="E200" s="601"/>
      <c r="F200" s="1273">
        <v>1015800</v>
      </c>
      <c r="G200" s="1265"/>
      <c r="H200" s="621">
        <v>51</v>
      </c>
      <c r="I200" s="1273"/>
      <c r="J200" s="1258">
        <v>1015800</v>
      </c>
      <c r="L200" s="600"/>
      <c r="M200" s="601"/>
      <c r="N200" s="600"/>
      <c r="O200" s="600"/>
      <c r="P200" s="600"/>
      <c r="Q200" s="601"/>
      <c r="R200" s="600"/>
    </row>
    <row r="201" spans="2:18" s="598" customFormat="1" ht="14.25">
      <c r="B201" s="1259" t="s">
        <v>891</v>
      </c>
      <c r="C201" s="601"/>
      <c r="D201" s="1330">
        <v>15500</v>
      </c>
      <c r="E201" s="601"/>
      <c r="F201" s="1273">
        <v>437750000</v>
      </c>
      <c r="G201" s="1265"/>
      <c r="H201" s="621">
        <v>15500</v>
      </c>
      <c r="I201" s="1273"/>
      <c r="J201" s="1258">
        <v>437750000</v>
      </c>
      <c r="L201" s="600"/>
      <c r="M201" s="601"/>
      <c r="N201" s="600"/>
      <c r="O201" s="600"/>
      <c r="P201" s="600"/>
      <c r="Q201" s="601"/>
      <c r="R201" s="600"/>
    </row>
    <row r="202" spans="2:18" s="598" customFormat="1" ht="14.25">
      <c r="B202" s="1259" t="s">
        <v>589</v>
      </c>
      <c r="C202" s="601"/>
      <c r="D202" s="1330">
        <v>9000</v>
      </c>
      <c r="E202" s="601"/>
      <c r="F202" s="1273">
        <v>669600000</v>
      </c>
      <c r="G202" s="1265"/>
      <c r="H202" s="621">
        <v>9000</v>
      </c>
      <c r="I202" s="1273"/>
      <c r="J202" s="1258">
        <v>669600000</v>
      </c>
      <c r="L202" s="600"/>
      <c r="M202" s="601"/>
      <c r="N202" s="600"/>
      <c r="O202" s="600"/>
      <c r="P202" s="600"/>
      <c r="Q202" s="601"/>
      <c r="R202" s="600"/>
    </row>
    <row r="203" spans="2:18" s="598" customFormat="1" ht="14.25">
      <c r="B203" s="1259" t="s">
        <v>590</v>
      </c>
      <c r="C203" s="601"/>
      <c r="D203" s="1330">
        <v>32100</v>
      </c>
      <c r="E203" s="601"/>
      <c r="F203" s="1273">
        <v>770500000</v>
      </c>
      <c r="G203" s="1265"/>
      <c r="H203" s="621">
        <v>32100</v>
      </c>
      <c r="I203" s="1273"/>
      <c r="J203" s="1258">
        <v>770500000</v>
      </c>
      <c r="L203" s="600"/>
      <c r="M203" s="601"/>
      <c r="N203" s="600"/>
      <c r="O203" s="600"/>
      <c r="P203" s="600"/>
      <c r="Q203" s="601"/>
      <c r="R203" s="600"/>
    </row>
    <row r="204" spans="2:18" s="598" customFormat="1" ht="14.25">
      <c r="B204" s="1259" t="s">
        <v>591</v>
      </c>
      <c r="C204" s="601"/>
      <c r="D204" s="1330">
        <v>9000</v>
      </c>
      <c r="E204" s="601"/>
      <c r="F204" s="1273">
        <v>261600000</v>
      </c>
      <c r="G204" s="1265"/>
      <c r="H204" s="621">
        <v>9000</v>
      </c>
      <c r="I204" s="1273"/>
      <c r="J204" s="1258">
        <v>261600000</v>
      </c>
      <c r="L204" s="600"/>
      <c r="M204" s="601"/>
      <c r="N204" s="600"/>
      <c r="O204" s="600"/>
      <c r="P204" s="600"/>
      <c r="Q204" s="601"/>
      <c r="R204" s="600"/>
    </row>
    <row r="205" spans="2:18" s="598" customFormat="1" ht="14.25">
      <c r="B205" s="1259" t="s">
        <v>592</v>
      </c>
      <c r="C205" s="601"/>
      <c r="D205" s="1330">
        <v>3000</v>
      </c>
      <c r="E205" s="601"/>
      <c r="F205" s="1273">
        <v>48900000</v>
      </c>
      <c r="G205" s="1265"/>
      <c r="H205" s="621">
        <v>3000</v>
      </c>
      <c r="I205" s="1273"/>
      <c r="J205" s="1258">
        <v>48900000</v>
      </c>
      <c r="L205" s="600"/>
      <c r="M205" s="601"/>
      <c r="N205" s="600"/>
      <c r="O205" s="600"/>
      <c r="P205" s="600"/>
      <c r="Q205" s="601"/>
      <c r="R205" s="600"/>
    </row>
    <row r="206" spans="2:18" s="598" customFormat="1" ht="14.25">
      <c r="B206" s="1259" t="s">
        <v>303</v>
      </c>
      <c r="C206" s="601"/>
      <c r="D206" s="1330">
        <v>16100</v>
      </c>
      <c r="E206" s="601"/>
      <c r="F206" s="1273">
        <v>241120000</v>
      </c>
      <c r="G206" s="1265"/>
      <c r="H206" s="621">
        <v>16100</v>
      </c>
      <c r="I206" s="1273"/>
      <c r="J206" s="1258">
        <v>241120000</v>
      </c>
      <c r="L206" s="600"/>
      <c r="M206" s="601"/>
      <c r="N206" s="600"/>
      <c r="O206" s="600"/>
      <c r="P206" s="600"/>
      <c r="Q206" s="601"/>
      <c r="R206" s="600"/>
    </row>
    <row r="207" spans="2:18" s="598" customFormat="1" ht="15.75">
      <c r="B207" s="1259" t="s">
        <v>593</v>
      </c>
      <c r="C207" s="601"/>
      <c r="D207" s="1330">
        <v>10000</v>
      </c>
      <c r="E207" s="601"/>
      <c r="F207" s="1273">
        <v>104150400</v>
      </c>
      <c r="G207" s="1265"/>
      <c r="H207" s="621">
        <v>10000</v>
      </c>
      <c r="I207" s="1273"/>
      <c r="J207" s="1258">
        <v>104150400</v>
      </c>
      <c r="L207" s="600"/>
      <c r="M207" s="601"/>
      <c r="N207" s="600"/>
      <c r="O207" s="600"/>
      <c r="P207" s="600"/>
      <c r="Q207" s="601"/>
      <c r="R207" s="600"/>
    </row>
    <row r="208" spans="2:18" s="598" customFormat="1" ht="14.25">
      <c r="B208" s="1259" t="s">
        <v>594</v>
      </c>
      <c r="C208" s="601"/>
      <c r="D208" s="1330">
        <v>10000</v>
      </c>
      <c r="E208" s="601"/>
      <c r="F208" s="1273">
        <v>134201000</v>
      </c>
      <c r="G208" s="1265"/>
      <c r="H208" s="621">
        <v>10000</v>
      </c>
      <c r="I208" s="1273"/>
      <c r="J208" s="1258">
        <v>134201000</v>
      </c>
      <c r="L208" s="600"/>
      <c r="M208" s="601"/>
      <c r="N208" s="600"/>
      <c r="O208" s="600"/>
      <c r="P208" s="600"/>
      <c r="Q208" s="601"/>
      <c r="R208" s="600"/>
    </row>
    <row r="209" spans="2:18" s="598" customFormat="1" ht="14.25">
      <c r="B209" s="1260"/>
      <c r="C209" s="601"/>
      <c r="D209" s="1265"/>
      <c r="E209" s="601"/>
      <c r="F209" s="1265"/>
      <c r="G209" s="1265"/>
      <c r="H209" s="621"/>
      <c r="I209" s="1273"/>
      <c r="J209" s="1258"/>
      <c r="L209" s="600"/>
      <c r="M209" s="601"/>
      <c r="N209" s="600"/>
      <c r="O209" s="600"/>
      <c r="P209" s="600"/>
      <c r="Q209" s="601"/>
      <c r="R209" s="600"/>
    </row>
    <row r="210" spans="2:18" s="598" customFormat="1" ht="30">
      <c r="B210" s="1518" t="s">
        <v>1075</v>
      </c>
      <c r="C210" s="601"/>
      <c r="D210" s="1265"/>
      <c r="E210" s="601"/>
      <c r="F210" s="1275">
        <f>-SUM(F211:F224)</f>
        <v>-4806768625</v>
      </c>
      <c r="G210" s="1265"/>
      <c r="H210" s="621"/>
      <c r="I210" s="1273"/>
      <c r="J210" s="1261">
        <v>-5551549525</v>
      </c>
      <c r="L210" s="600">
        <f>F210-BS!L18</f>
        <v>21150400</v>
      </c>
      <c r="M210" s="601"/>
      <c r="N210" s="600">
        <f>J210-BS!N18</f>
        <v>0</v>
      </c>
      <c r="O210" s="600"/>
      <c r="P210" s="600"/>
      <c r="Q210" s="601"/>
      <c r="R210" s="600"/>
    </row>
    <row r="211" spans="2:18" s="598" customFormat="1" ht="14.25">
      <c r="B211" s="1519" t="s">
        <v>1076</v>
      </c>
      <c r="C211" s="601"/>
      <c r="D211" s="1330">
        <v>29000</v>
      </c>
      <c r="E211" s="601"/>
      <c r="F211" s="1331">
        <v>726128500</v>
      </c>
      <c r="G211" s="1265"/>
      <c r="H211" s="621">
        <v>29000</v>
      </c>
      <c r="I211" s="1273"/>
      <c r="J211" s="1332">
        <v>760928500</v>
      </c>
      <c r="L211" s="600"/>
      <c r="M211" s="601"/>
      <c r="N211" s="600"/>
      <c r="O211" s="600"/>
      <c r="P211" s="600"/>
      <c r="Q211" s="601"/>
      <c r="R211" s="600"/>
    </row>
    <row r="212" spans="2:18" s="598" customFormat="1" ht="14.25">
      <c r="B212" s="1519" t="s">
        <v>1077</v>
      </c>
      <c r="C212" s="601"/>
      <c r="D212" s="1330">
        <v>9000</v>
      </c>
      <c r="E212" s="601"/>
      <c r="F212" s="1331">
        <v>433800000</v>
      </c>
      <c r="G212" s="1265"/>
      <c r="H212" s="621">
        <v>9000</v>
      </c>
      <c r="I212" s="1273"/>
      <c r="J212" s="1332">
        <v>572400000</v>
      </c>
      <c r="L212" s="600"/>
      <c r="M212" s="601"/>
      <c r="N212" s="600"/>
      <c r="O212" s="600"/>
      <c r="P212" s="600"/>
      <c r="Q212" s="601"/>
      <c r="R212" s="600"/>
    </row>
    <row r="213" spans="2:18" s="598" customFormat="1" ht="15" customHeight="1">
      <c r="B213" s="1696" t="s">
        <v>1078</v>
      </c>
      <c r="C213" s="1697"/>
      <c r="D213" s="1330">
        <v>5280</v>
      </c>
      <c r="E213" s="601"/>
      <c r="F213" s="1331">
        <v>50124000</v>
      </c>
      <c r="G213" s="1265"/>
      <c r="H213" s="621">
        <v>5280</v>
      </c>
      <c r="I213" s="1273"/>
      <c r="J213" s="1332">
        <v>88140000</v>
      </c>
      <c r="L213" s="600"/>
      <c r="M213" s="601"/>
      <c r="N213" s="600"/>
      <c r="O213" s="600"/>
      <c r="P213" s="600"/>
      <c r="Q213" s="601"/>
      <c r="R213" s="600"/>
    </row>
    <row r="214" spans="2:18" s="598" customFormat="1" ht="16.5" customHeight="1">
      <c r="B214" s="1696" t="s">
        <v>584</v>
      </c>
      <c r="C214" s="1697"/>
      <c r="D214" s="1330">
        <v>95000</v>
      </c>
      <c r="E214" s="601"/>
      <c r="F214" s="1331">
        <v>976530000</v>
      </c>
      <c r="G214" s="1265"/>
      <c r="H214" s="621">
        <v>95000</v>
      </c>
      <c r="I214" s="1273"/>
      <c r="J214" s="1332">
        <v>1024030000</v>
      </c>
      <c r="L214" s="600"/>
      <c r="M214" s="601"/>
      <c r="N214" s="600"/>
      <c r="O214" s="600"/>
      <c r="P214" s="600"/>
      <c r="Q214" s="601"/>
      <c r="R214" s="600"/>
    </row>
    <row r="215" spans="2:18" s="598" customFormat="1" ht="14.25">
      <c r="B215" s="1696" t="s">
        <v>1079</v>
      </c>
      <c r="C215" s="1697"/>
      <c r="D215" s="1330">
        <v>15500</v>
      </c>
      <c r="E215" s="601"/>
      <c r="F215" s="1331">
        <v>189750000</v>
      </c>
      <c r="G215" s="1265"/>
      <c r="H215" s="621">
        <v>15500</v>
      </c>
      <c r="I215" s="1273"/>
      <c r="J215" s="1332">
        <v>202150000</v>
      </c>
      <c r="L215" s="600"/>
      <c r="M215" s="601"/>
      <c r="N215" s="600"/>
      <c r="O215" s="600"/>
      <c r="P215" s="600"/>
      <c r="Q215" s="601"/>
      <c r="R215" s="600"/>
    </row>
    <row r="216" spans="2:18" s="598" customFormat="1" ht="14.25">
      <c r="B216" s="1519" t="s">
        <v>587</v>
      </c>
      <c r="C216" s="601"/>
      <c r="D216" s="1330">
        <v>103500</v>
      </c>
      <c r="E216" s="601"/>
      <c r="F216" s="1331">
        <v>689734000</v>
      </c>
      <c r="G216" s="1265"/>
      <c r="H216" s="621">
        <v>103500</v>
      </c>
      <c r="I216" s="1273"/>
      <c r="J216" s="1332">
        <v>1041634000</v>
      </c>
      <c r="L216" s="600"/>
      <c r="M216" s="601"/>
      <c r="N216" s="600">
        <v>-4786919025</v>
      </c>
      <c r="O216" s="600"/>
      <c r="P216" s="600"/>
      <c r="Q216" s="601"/>
      <c r="R216" s="600"/>
    </row>
    <row r="217" spans="2:18" s="598" customFormat="1" ht="18.75" customHeight="1">
      <c r="B217" s="1519" t="s">
        <v>1080</v>
      </c>
      <c r="C217" s="601"/>
      <c r="D217" s="1330">
        <v>32100</v>
      </c>
      <c r="E217" s="601"/>
      <c r="F217" s="1331">
        <v>654940000</v>
      </c>
      <c r="G217" s="1265"/>
      <c r="H217" s="621">
        <v>32100</v>
      </c>
      <c r="I217" s="1273"/>
      <c r="J217" s="1332">
        <v>654940000</v>
      </c>
      <c r="L217" s="600"/>
      <c r="M217" s="601"/>
      <c r="N217" s="600"/>
      <c r="O217" s="600"/>
      <c r="P217" s="600"/>
      <c r="Q217" s="601"/>
      <c r="R217" s="600"/>
    </row>
    <row r="218" spans="2:18" s="598" customFormat="1" ht="14.25">
      <c r="B218" s="1519" t="s">
        <v>586</v>
      </c>
      <c r="C218" s="601"/>
      <c r="D218" s="1330">
        <v>73500</v>
      </c>
      <c r="E218" s="601"/>
      <c r="F218" s="1331">
        <v>707331325</v>
      </c>
      <c r="G218" s="1265"/>
      <c r="H218" s="621">
        <v>73500</v>
      </c>
      <c r="I218" s="1273"/>
      <c r="J218" s="1332">
        <v>788181325</v>
      </c>
      <c r="L218" s="600"/>
      <c r="M218" s="601"/>
      <c r="N218" s="600"/>
      <c r="O218" s="600"/>
      <c r="P218" s="600"/>
      <c r="Q218" s="601"/>
      <c r="R218" s="600"/>
    </row>
    <row r="219" spans="2:18" s="598" customFormat="1" ht="14.25">
      <c r="B219" s="1696" t="s">
        <v>1083</v>
      </c>
      <c r="C219" s="1697"/>
      <c r="D219" s="1330">
        <v>9000</v>
      </c>
      <c r="E219" s="601"/>
      <c r="F219" s="1331">
        <v>212100000</v>
      </c>
      <c r="G219" s="1265"/>
      <c r="H219" s="621">
        <v>9000</v>
      </c>
      <c r="I219" s="1273"/>
      <c r="J219" s="1332">
        <v>222900000</v>
      </c>
      <c r="L219" s="600"/>
      <c r="M219" s="601"/>
      <c r="N219" s="600"/>
      <c r="O219" s="600"/>
      <c r="P219" s="600"/>
      <c r="Q219" s="601"/>
      <c r="R219" s="600"/>
    </row>
    <row r="220" spans="2:18" s="598" customFormat="1" ht="14.25">
      <c r="B220" s="1696" t="s">
        <v>1084</v>
      </c>
      <c r="C220" s="1697"/>
      <c r="D220" s="1330">
        <v>3000</v>
      </c>
      <c r="E220" s="601"/>
      <c r="F220" s="1331">
        <v>29100000</v>
      </c>
      <c r="G220" s="1265"/>
      <c r="H220" s="621">
        <v>3000</v>
      </c>
      <c r="I220" s="1273"/>
      <c r="J220" s="1332">
        <v>23400000</v>
      </c>
      <c r="L220" s="600"/>
      <c r="M220" s="601"/>
      <c r="N220" s="600"/>
      <c r="O220" s="600"/>
      <c r="P220" s="600"/>
      <c r="Q220" s="601"/>
      <c r="R220" s="600"/>
    </row>
    <row r="221" spans="2:18" s="598" customFormat="1" ht="14.25">
      <c r="B221" s="1696" t="s">
        <v>1081</v>
      </c>
      <c r="C221" s="1697"/>
      <c r="D221" s="1330">
        <v>51</v>
      </c>
      <c r="E221" s="601"/>
      <c r="F221" s="1331">
        <v>760800</v>
      </c>
      <c r="G221" s="1265"/>
      <c r="H221" s="621">
        <v>51</v>
      </c>
      <c r="I221" s="1273"/>
      <c r="J221" s="1332">
        <v>735300</v>
      </c>
      <c r="L221" s="600"/>
      <c r="M221" s="601"/>
      <c r="N221" s="600"/>
      <c r="O221" s="600"/>
      <c r="P221" s="600"/>
      <c r="Q221" s="601"/>
      <c r="R221" s="600"/>
    </row>
    <row r="222" spans="2:18" s="598" customFormat="1" ht="14.25">
      <c r="B222" s="1519" t="s">
        <v>303</v>
      </c>
      <c r="C222" s="601"/>
      <c r="D222" s="1330">
        <v>16100</v>
      </c>
      <c r="E222" s="601"/>
      <c r="F222" s="1331">
        <v>136470000</v>
      </c>
      <c r="G222" s="1265"/>
      <c r="H222" s="621">
        <v>16100</v>
      </c>
      <c r="I222" s="1273"/>
      <c r="J222" s="1332">
        <v>150960000</v>
      </c>
      <c r="L222" s="600"/>
      <c r="M222" s="601"/>
      <c r="N222" s="600">
        <f>J210-F210</f>
        <v>-744780900</v>
      </c>
      <c r="O222" s="600"/>
      <c r="P222" s="600"/>
      <c r="Q222" s="601"/>
      <c r="R222" s="600"/>
    </row>
    <row r="223" spans="2:18" s="598" customFormat="1" ht="15.75">
      <c r="B223" s="1519" t="s">
        <v>1082</v>
      </c>
      <c r="C223" s="601"/>
      <c r="D223" s="1330">
        <v>10000</v>
      </c>
      <c r="E223" s="601"/>
      <c r="F223" s="1331">
        <v>0</v>
      </c>
      <c r="G223" s="1265"/>
      <c r="H223" s="621">
        <v>10000</v>
      </c>
      <c r="I223" s="1273"/>
      <c r="J223" s="1332">
        <v>21150400</v>
      </c>
      <c r="L223" s="600"/>
      <c r="M223" s="601"/>
      <c r="N223" s="600"/>
      <c r="O223" s="600"/>
      <c r="P223" s="600"/>
      <c r="Q223" s="601"/>
      <c r="R223" s="600"/>
    </row>
    <row r="224" spans="2:18" s="598" customFormat="1" ht="14.25">
      <c r="B224" s="1519" t="s">
        <v>594</v>
      </c>
      <c r="C224" s="601"/>
      <c r="D224" s="1330">
        <v>10000</v>
      </c>
      <c r="E224" s="601"/>
      <c r="F224" s="1331">
        <v>0</v>
      </c>
      <c r="G224" s="1265"/>
      <c r="H224" s="621">
        <v>10000</v>
      </c>
      <c r="I224" s="1273"/>
      <c r="J224" s="1332">
        <v>0</v>
      </c>
      <c r="L224" s="600"/>
      <c r="M224" s="601"/>
      <c r="N224" s="600"/>
      <c r="O224" s="600"/>
      <c r="P224" s="600"/>
      <c r="Q224" s="601"/>
      <c r="R224" s="600"/>
    </row>
    <row r="225" spans="1:18" s="598" customFormat="1" ht="14.25">
      <c r="B225" s="1519"/>
      <c r="C225" s="601"/>
      <c r="D225" s="601"/>
      <c r="E225" s="601"/>
      <c r="F225" s="601"/>
      <c r="G225" s="601"/>
      <c r="H225" s="621"/>
      <c r="I225" s="621"/>
      <c r="J225" s="1258"/>
      <c r="L225" s="600"/>
      <c r="M225" s="601"/>
      <c r="N225" s="1255">
        <f>764630500-41000000</f>
        <v>723630500</v>
      </c>
      <c r="O225" s="600"/>
      <c r="P225" s="600"/>
      <c r="Q225" s="601"/>
      <c r="R225" s="600"/>
    </row>
    <row r="226" spans="1:18" s="598" customFormat="1" ht="14.25" hidden="1">
      <c r="B226" s="1259" t="s">
        <v>163</v>
      </c>
      <c r="C226" s="601"/>
      <c r="D226" s="601"/>
      <c r="E226" s="601"/>
      <c r="F226" s="601"/>
      <c r="G226" s="601"/>
      <c r="H226" s="621"/>
      <c r="I226" s="621"/>
      <c r="J226" s="1258"/>
      <c r="L226" s="600"/>
      <c r="M226" s="601"/>
      <c r="N226" s="600"/>
      <c r="O226" s="600"/>
      <c r="P226" s="600"/>
      <c r="Q226" s="601"/>
      <c r="R226" s="600"/>
    </row>
    <row r="227" spans="1:18" s="598" customFormat="1" ht="18" customHeight="1">
      <c r="B227" s="1704" t="s">
        <v>889</v>
      </c>
      <c r="C227" s="1705"/>
      <c r="D227" s="1705"/>
      <c r="E227" s="1705"/>
      <c r="F227" s="1705"/>
      <c r="G227" s="1705"/>
      <c r="H227" s="1705"/>
      <c r="I227" s="1705"/>
      <c r="J227" s="1706"/>
      <c r="L227" s="600"/>
      <c r="M227" s="601"/>
      <c r="N227" s="600"/>
      <c r="O227" s="600"/>
      <c r="P227" s="600"/>
      <c r="Q227" s="601"/>
      <c r="R227" s="600"/>
    </row>
    <row r="228" spans="1:18" s="598" customFormat="1" ht="15">
      <c r="B228" s="1263" t="s">
        <v>164</v>
      </c>
      <c r="C228" s="602"/>
      <c r="D228" s="1266"/>
      <c r="E228" s="602"/>
      <c r="F228" s="1559">
        <v>723630500</v>
      </c>
      <c r="G228" s="602"/>
      <c r="H228" s="603"/>
      <c r="I228" s="1278"/>
      <c r="J228" s="1264"/>
      <c r="L228" s="600"/>
      <c r="M228" s="601"/>
      <c r="N228" s="600"/>
      <c r="O228" s="600"/>
      <c r="P228" s="600"/>
      <c r="Q228" s="601"/>
      <c r="R228" s="600"/>
    </row>
    <row r="229" spans="1:18" s="598" customFormat="1" ht="14.25">
      <c r="B229" s="1407"/>
      <c r="C229" s="601"/>
      <c r="D229" s="601"/>
      <c r="E229" s="601"/>
      <c r="F229" s="600"/>
      <c r="G229" s="601"/>
      <c r="H229" s="621"/>
      <c r="I229" s="621"/>
      <c r="J229" s="621"/>
      <c r="L229" s="600"/>
      <c r="M229" s="601"/>
      <c r="N229" s="600"/>
      <c r="O229" s="600"/>
      <c r="P229" s="600"/>
      <c r="Q229" s="601"/>
      <c r="R229" s="600"/>
    </row>
    <row r="230" spans="1:18" s="598" customFormat="1" ht="14.25">
      <c r="B230" s="608"/>
      <c r="H230" s="621"/>
      <c r="I230" s="621"/>
      <c r="J230" s="621"/>
      <c r="L230" s="600"/>
      <c r="M230" s="601"/>
      <c r="N230" s="600"/>
      <c r="O230" s="600"/>
      <c r="P230" s="600"/>
      <c r="Q230" s="601"/>
      <c r="R230" s="600"/>
    </row>
    <row r="231" spans="1:18" ht="3.75" customHeight="1">
      <c r="A231" s="634"/>
      <c r="H231" s="621"/>
      <c r="I231" s="823"/>
      <c r="J231" s="823"/>
    </row>
    <row r="232" spans="1:18" s="598" customFormat="1" ht="15">
      <c r="B232" s="608"/>
      <c r="H232" s="599"/>
      <c r="I232" s="599"/>
      <c r="J232" s="599"/>
      <c r="L232" s="596"/>
      <c r="M232" s="597"/>
      <c r="N232" s="596"/>
      <c r="O232" s="600"/>
      <c r="P232" s="600"/>
      <c r="Q232" s="601"/>
      <c r="R232" s="596"/>
    </row>
    <row r="233" spans="1:18" s="598" customFormat="1" ht="15">
      <c r="A233" s="609" t="s">
        <v>666</v>
      </c>
      <c r="B233" s="604" t="s">
        <v>1242</v>
      </c>
      <c r="H233" s="612" t="s">
        <v>1428</v>
      </c>
      <c r="I233" s="613"/>
      <c r="J233" s="1136" t="s">
        <v>256</v>
      </c>
      <c r="L233" s="596"/>
      <c r="M233" s="597"/>
      <c r="N233" s="596"/>
      <c r="O233" s="600"/>
      <c r="P233" s="600"/>
      <c r="Q233" s="601"/>
      <c r="R233" s="596"/>
    </row>
    <row r="234" spans="1:18" s="594" customFormat="1" ht="15">
      <c r="A234" s="594" t="s">
        <v>987</v>
      </c>
      <c r="B234" s="604" t="s">
        <v>447</v>
      </c>
      <c r="H234" s="595">
        <f>H235+H315</f>
        <v>274191804434</v>
      </c>
      <c r="I234" s="595"/>
      <c r="J234" s="595">
        <f>J235+J315</f>
        <v>215636450016</v>
      </c>
      <c r="L234" s="596">
        <f>H234-BS!L20</f>
        <v>0</v>
      </c>
      <c r="M234" s="597"/>
      <c r="N234" s="596">
        <f>J234-BS!N20</f>
        <v>0</v>
      </c>
      <c r="O234" s="596"/>
      <c r="P234" s="596"/>
      <c r="Q234" s="597"/>
      <c r="R234" s="596"/>
    </row>
    <row r="235" spans="1:18" s="684" customFormat="1" ht="15">
      <c r="B235" s="1491" t="s">
        <v>892</v>
      </c>
      <c r="C235" s="1323"/>
      <c r="D235" s="1323"/>
      <c r="E235" s="1323"/>
      <c r="F235" s="1323"/>
      <c r="H235" s="1398">
        <f>SUM(H236:H314)</f>
        <v>274191804434</v>
      </c>
      <c r="I235" s="1398"/>
      <c r="J235" s="1398">
        <f>SUM(J236:J314)</f>
        <v>215636450016</v>
      </c>
      <c r="L235" s="626"/>
      <c r="M235" s="632"/>
      <c r="N235" s="626"/>
      <c r="O235" s="642"/>
      <c r="P235" s="642"/>
      <c r="Q235" s="645"/>
      <c r="R235" s="626"/>
    </row>
    <row r="236" spans="1:18" s="598" customFormat="1" ht="15">
      <c r="B236" s="1494" t="s">
        <v>893</v>
      </c>
      <c r="C236" s="1493"/>
      <c r="D236" s="1493"/>
      <c r="E236" s="1493"/>
      <c r="F236" s="1493"/>
      <c r="H236" s="599">
        <v>9556082000</v>
      </c>
      <c r="I236" s="599"/>
      <c r="J236" s="599">
        <v>9656082000</v>
      </c>
      <c r="L236" s="596"/>
      <c r="M236" s="597"/>
      <c r="N236" s="596"/>
      <c r="O236" s="600"/>
      <c r="P236" s="600"/>
      <c r="Q236" s="601"/>
      <c r="R236" s="596"/>
    </row>
    <row r="237" spans="1:18" s="598" customFormat="1" ht="15">
      <c r="B237" s="1494" t="s">
        <v>1617</v>
      </c>
      <c r="C237" s="1322"/>
      <c r="D237" s="1322"/>
      <c r="E237" s="1322"/>
      <c r="F237" s="1322"/>
      <c r="H237" s="599">
        <v>530104610</v>
      </c>
      <c r="I237" s="599"/>
      <c r="J237" s="599">
        <v>316640796</v>
      </c>
      <c r="L237" s="596"/>
      <c r="M237" s="597"/>
      <c r="N237" s="596">
        <f>SUM(J236:J300)</f>
        <v>190016504902</v>
      </c>
      <c r="O237" s="600"/>
      <c r="P237" s="600"/>
      <c r="Q237" s="601"/>
      <c r="R237" s="596"/>
    </row>
    <row r="238" spans="1:18" s="598" customFormat="1" ht="15">
      <c r="B238" s="1494" t="s">
        <v>894</v>
      </c>
      <c r="C238" s="1322"/>
      <c r="D238" s="1322"/>
      <c r="E238" s="1322"/>
      <c r="F238" s="1322"/>
      <c r="H238" s="635">
        <v>21852182796</v>
      </c>
      <c r="I238" s="599"/>
      <c r="J238" s="635">
        <v>22615108174</v>
      </c>
      <c r="L238" s="596"/>
      <c r="M238" s="597"/>
      <c r="N238" s="596" t="e">
        <f>N237+#REF!</f>
        <v>#REF!</v>
      </c>
      <c r="O238" s="600"/>
      <c r="P238" s="600"/>
      <c r="Q238" s="601"/>
      <c r="R238" s="596"/>
    </row>
    <row r="239" spans="1:18" s="598" customFormat="1" ht="15">
      <c r="B239" s="1494" t="s">
        <v>895</v>
      </c>
      <c r="C239" s="1322"/>
      <c r="D239" s="1322"/>
      <c r="E239" s="1322"/>
      <c r="F239" s="1322"/>
      <c r="H239" s="599">
        <v>0</v>
      </c>
      <c r="I239" s="599"/>
      <c r="J239" s="635">
        <v>40000000</v>
      </c>
      <c r="L239" s="596"/>
      <c r="M239" s="597"/>
      <c r="N239" s="596"/>
      <c r="O239" s="600"/>
      <c r="P239" s="600"/>
      <c r="Q239" s="601"/>
      <c r="R239" s="596"/>
    </row>
    <row r="240" spans="1:18" s="598" customFormat="1" ht="15" hidden="1">
      <c r="B240" s="1494" t="s">
        <v>896</v>
      </c>
      <c r="C240" s="1322"/>
      <c r="D240" s="1322"/>
      <c r="E240" s="1322"/>
      <c r="F240" s="1322"/>
      <c r="H240" s="599"/>
      <c r="I240" s="599"/>
      <c r="J240" s="599"/>
      <c r="L240" s="596"/>
      <c r="M240" s="597"/>
      <c r="N240" s="596"/>
      <c r="O240" s="600"/>
      <c r="P240" s="600"/>
      <c r="Q240" s="601"/>
      <c r="R240" s="596"/>
    </row>
    <row r="241" spans="2:18" s="598" customFormat="1" ht="15">
      <c r="B241" s="1494" t="s">
        <v>897</v>
      </c>
      <c r="C241" s="1322"/>
      <c r="D241" s="1322"/>
      <c r="E241" s="1322"/>
      <c r="F241" s="1322"/>
      <c r="H241" s="635">
        <v>3840925954</v>
      </c>
      <c r="I241" s="599"/>
      <c r="J241" s="635">
        <v>3840925954</v>
      </c>
      <c r="L241" s="596"/>
      <c r="M241" s="597"/>
      <c r="N241" s="596"/>
      <c r="O241" s="600"/>
      <c r="P241" s="600"/>
      <c r="Q241" s="601"/>
      <c r="R241" s="596"/>
    </row>
    <row r="242" spans="2:18" s="598" customFormat="1" ht="15">
      <c r="B242" s="1494" t="s">
        <v>898</v>
      </c>
      <c r="C242" s="1322"/>
      <c r="D242" s="1322"/>
      <c r="E242" s="1322"/>
      <c r="F242" s="1322"/>
      <c r="H242" s="635">
        <v>315504000</v>
      </c>
      <c r="I242" s="599"/>
      <c r="J242" s="635">
        <v>348059068</v>
      </c>
      <c r="L242" s="596"/>
      <c r="M242" s="597"/>
      <c r="N242" s="596"/>
      <c r="O242" s="600"/>
      <c r="P242" s="600"/>
      <c r="Q242" s="601"/>
      <c r="R242" s="596"/>
    </row>
    <row r="243" spans="2:18" s="598" customFormat="1" ht="15">
      <c r="B243" s="1494" t="s">
        <v>899</v>
      </c>
      <c r="C243" s="1322"/>
      <c r="D243" s="1322"/>
      <c r="E243" s="1322"/>
      <c r="F243" s="1322"/>
      <c r="H243" s="635">
        <v>5187959460</v>
      </c>
      <c r="I243" s="599"/>
      <c r="J243" s="635">
        <v>8581201347</v>
      </c>
      <c r="L243" s="596">
        <f>SUM(H236:H300)</f>
        <v>156165245999</v>
      </c>
      <c r="M243" s="597"/>
      <c r="N243" s="596" t="e">
        <f>L243+#REF!</f>
        <v>#REF!</v>
      </c>
      <c r="O243" s="600"/>
      <c r="P243" s="600"/>
      <c r="Q243" s="601"/>
      <c r="R243" s="596"/>
    </row>
    <row r="244" spans="2:18" s="598" customFormat="1" ht="15">
      <c r="B244" s="1494" t="s">
        <v>900</v>
      </c>
      <c r="C244" s="1322"/>
      <c r="D244" s="1322"/>
      <c r="E244" s="1322"/>
      <c r="F244" s="1322"/>
      <c r="H244" s="599">
        <v>7130304944</v>
      </c>
      <c r="I244" s="599"/>
      <c r="J244" s="599">
        <v>0</v>
      </c>
      <c r="L244" s="596"/>
      <c r="M244" s="597"/>
      <c r="N244" s="596"/>
      <c r="O244" s="600"/>
      <c r="P244" s="600"/>
      <c r="Q244" s="601"/>
      <c r="R244" s="596"/>
    </row>
    <row r="245" spans="2:18" s="598" customFormat="1" ht="15">
      <c r="B245" s="1494" t="s">
        <v>901</v>
      </c>
      <c r="C245" s="1322"/>
      <c r="D245" s="1322"/>
      <c r="E245" s="1322"/>
      <c r="F245" s="1322"/>
      <c r="H245" s="635">
        <v>77435600</v>
      </c>
      <c r="I245" s="599"/>
      <c r="J245" s="635">
        <v>113435600</v>
      </c>
      <c r="L245" s="596"/>
      <c r="M245" s="597"/>
      <c r="N245" s="596" t="e">
        <f>H235-N243</f>
        <v>#REF!</v>
      </c>
      <c r="O245" s="600"/>
      <c r="P245" s="600"/>
      <c r="Q245" s="601"/>
      <c r="R245" s="596"/>
    </row>
    <row r="246" spans="2:18" s="598" customFormat="1" ht="15">
      <c r="B246" s="1494" t="s">
        <v>902</v>
      </c>
      <c r="C246" s="1322"/>
      <c r="D246" s="1322"/>
      <c r="E246" s="1322"/>
      <c r="F246" s="1322"/>
      <c r="H246" s="599">
        <v>6855955165</v>
      </c>
      <c r="I246" s="599"/>
      <c r="J246" s="635">
        <v>6919927165</v>
      </c>
      <c r="L246" s="596"/>
      <c r="M246" s="597"/>
      <c r="N246" s="596"/>
      <c r="O246" s="600"/>
      <c r="P246" s="600"/>
      <c r="Q246" s="601"/>
      <c r="R246" s="596"/>
    </row>
    <row r="247" spans="2:18" s="598" customFormat="1" ht="15">
      <c r="B247" s="1494" t="s">
        <v>903</v>
      </c>
      <c r="C247" s="1322"/>
      <c r="D247" s="1322"/>
      <c r="E247" s="1322"/>
      <c r="F247" s="1322"/>
      <c r="H247" s="599">
        <v>6739256680</v>
      </c>
      <c r="I247" s="599"/>
      <c r="J247" s="635">
        <v>6739256680</v>
      </c>
      <c r="L247" s="596"/>
      <c r="M247" s="597"/>
      <c r="N247" s="596"/>
      <c r="O247" s="600"/>
      <c r="P247" s="600"/>
      <c r="Q247" s="601"/>
      <c r="R247" s="596"/>
    </row>
    <row r="248" spans="2:18" s="598" customFormat="1" ht="15">
      <c r="B248" s="1494" t="s">
        <v>904</v>
      </c>
      <c r="C248" s="1322"/>
      <c r="D248" s="1322"/>
      <c r="E248" s="1322"/>
      <c r="F248" s="1322"/>
      <c r="H248" s="599">
        <v>433594250</v>
      </c>
      <c r="I248" s="599"/>
      <c r="J248" s="635">
        <v>433594250</v>
      </c>
      <c r="L248" s="596"/>
      <c r="M248" s="597"/>
      <c r="N248" s="596"/>
      <c r="O248" s="600"/>
      <c r="P248" s="600"/>
      <c r="Q248" s="601"/>
      <c r="R248" s="596"/>
    </row>
    <row r="249" spans="2:18" s="598" customFormat="1" ht="15">
      <c r="B249" s="1494" t="s">
        <v>905</v>
      </c>
      <c r="C249" s="1322"/>
      <c r="D249" s="1322"/>
      <c r="E249" s="1322"/>
      <c r="F249" s="1322"/>
      <c r="H249" s="599">
        <v>25331177597</v>
      </c>
      <c r="I249" s="599"/>
      <c r="J249" s="635">
        <v>25331177597</v>
      </c>
      <c r="L249" s="596"/>
      <c r="M249" s="597"/>
      <c r="N249" s="596"/>
      <c r="O249" s="600"/>
      <c r="P249" s="600"/>
      <c r="Q249" s="601"/>
      <c r="R249" s="596"/>
    </row>
    <row r="250" spans="2:18" s="598" customFormat="1" ht="15">
      <c r="B250" s="1494" t="s">
        <v>906</v>
      </c>
      <c r="C250" s="1322"/>
      <c r="D250" s="1322"/>
      <c r="E250" s="1322"/>
      <c r="F250" s="1322"/>
      <c r="H250" s="599">
        <v>131247240</v>
      </c>
      <c r="I250" s="599"/>
      <c r="J250" s="635">
        <v>131247240</v>
      </c>
      <c r="L250" s="596"/>
      <c r="M250" s="597"/>
      <c r="N250" s="596"/>
      <c r="O250" s="600"/>
      <c r="P250" s="600"/>
      <c r="Q250" s="601"/>
      <c r="R250" s="596"/>
    </row>
    <row r="251" spans="2:18" s="598" customFormat="1" ht="15">
      <c r="B251" s="1494" t="s">
        <v>1619</v>
      </c>
      <c r="C251" s="1322"/>
      <c r="D251" s="1322"/>
      <c r="E251" s="1322"/>
      <c r="F251" s="1322"/>
      <c r="H251" s="635">
        <v>1319115000</v>
      </c>
      <c r="I251" s="599"/>
      <c r="J251" s="635">
        <v>1319115000</v>
      </c>
      <c r="L251" s="596"/>
      <c r="M251" s="597"/>
      <c r="N251" s="596"/>
      <c r="O251" s="600"/>
      <c r="P251" s="600"/>
      <c r="Q251" s="601"/>
      <c r="R251" s="596"/>
    </row>
    <row r="252" spans="2:18" s="598" customFormat="1" ht="15">
      <c r="B252" s="1494" t="s">
        <v>1618</v>
      </c>
      <c r="C252" s="1322"/>
      <c r="D252" s="1322"/>
      <c r="E252" s="1322"/>
      <c r="F252" s="1322"/>
      <c r="H252" s="599">
        <v>0</v>
      </c>
      <c r="I252" s="599"/>
      <c r="J252" s="635">
        <v>92569241</v>
      </c>
      <c r="L252" s="596"/>
      <c r="M252" s="597"/>
      <c r="N252" s="596"/>
      <c r="O252" s="600"/>
      <c r="P252" s="600"/>
      <c r="Q252" s="601"/>
      <c r="R252" s="596"/>
    </row>
    <row r="253" spans="2:18" s="598" customFormat="1" ht="15">
      <c r="B253" s="1494" t="s">
        <v>907</v>
      </c>
      <c r="C253" s="1322"/>
      <c r="D253" s="1322"/>
      <c r="E253" s="1322"/>
      <c r="F253" s="1322"/>
      <c r="H253" s="599">
        <v>1259196466</v>
      </c>
      <c r="I253" s="599"/>
      <c r="J253" s="635">
        <v>1259196466</v>
      </c>
      <c r="L253" s="596"/>
      <c r="M253" s="597"/>
      <c r="N253" s="596"/>
      <c r="O253" s="600"/>
      <c r="P253" s="600"/>
      <c r="Q253" s="601"/>
      <c r="R253" s="596"/>
    </row>
    <row r="254" spans="2:18" s="598" customFormat="1" ht="15">
      <c r="B254" s="1494" t="s">
        <v>908</v>
      </c>
      <c r="C254" s="1322"/>
      <c r="D254" s="1322"/>
      <c r="E254" s="1322"/>
      <c r="F254" s="1322"/>
      <c r="H254" s="599">
        <v>215370113</v>
      </c>
      <c r="I254" s="599"/>
      <c r="J254" s="599">
        <v>463072560</v>
      </c>
      <c r="L254" s="596"/>
      <c r="M254" s="597"/>
      <c r="N254" s="596"/>
      <c r="O254" s="600"/>
      <c r="P254" s="600"/>
      <c r="Q254" s="601"/>
      <c r="R254" s="596"/>
    </row>
    <row r="255" spans="2:18" s="598" customFormat="1" ht="15">
      <c r="B255" s="1494" t="s">
        <v>909</v>
      </c>
      <c r="C255" s="1322"/>
      <c r="D255" s="1322"/>
      <c r="E255" s="1322"/>
      <c r="F255" s="1322"/>
      <c r="H255" s="599">
        <v>556744777</v>
      </c>
      <c r="I255" s="599"/>
      <c r="J255" s="599">
        <v>1571482583</v>
      </c>
      <c r="L255" s="596"/>
      <c r="M255" s="597"/>
      <c r="N255" s="596"/>
      <c r="O255" s="600"/>
      <c r="P255" s="600"/>
      <c r="Q255" s="601"/>
      <c r="R255" s="596"/>
    </row>
    <row r="256" spans="2:18" s="598" customFormat="1" ht="15">
      <c r="B256" s="1494" t="s">
        <v>910</v>
      </c>
      <c r="C256" s="1322"/>
      <c r="D256" s="1322"/>
      <c r="E256" s="1322"/>
      <c r="F256" s="1322"/>
      <c r="H256" s="599">
        <v>738218750</v>
      </c>
      <c r="I256" s="599"/>
      <c r="J256" s="599">
        <v>1640094585</v>
      </c>
      <c r="L256" s="596"/>
      <c r="M256" s="597"/>
      <c r="N256" s="596"/>
      <c r="O256" s="600"/>
      <c r="P256" s="600"/>
      <c r="Q256" s="601"/>
      <c r="R256" s="596"/>
    </row>
    <row r="257" spans="2:18" s="598" customFormat="1" ht="15">
      <c r="B257" s="1494" t="s">
        <v>1621</v>
      </c>
      <c r="C257" s="1322"/>
      <c r="D257" s="1322"/>
      <c r="E257" s="1322"/>
      <c r="F257" s="1322"/>
      <c r="H257" s="599">
        <v>20513600</v>
      </c>
      <c r="I257" s="599"/>
      <c r="J257" s="635">
        <v>20513600</v>
      </c>
      <c r="L257" s="596"/>
      <c r="M257" s="597"/>
      <c r="N257" s="596"/>
      <c r="O257" s="600"/>
      <c r="P257" s="600"/>
      <c r="Q257" s="601"/>
      <c r="R257" s="596"/>
    </row>
    <row r="258" spans="2:18" s="598" customFormat="1" ht="15">
      <c r="B258" s="1494" t="s">
        <v>911</v>
      </c>
      <c r="C258" s="1322"/>
      <c r="D258" s="1322"/>
      <c r="E258" s="1322"/>
      <c r="F258" s="1322"/>
      <c r="H258" s="599">
        <v>3715359898</v>
      </c>
      <c r="I258" s="599"/>
      <c r="J258" s="599">
        <v>0</v>
      </c>
      <c r="L258" s="596"/>
      <c r="M258" s="597"/>
      <c r="N258" s="596"/>
      <c r="O258" s="600"/>
      <c r="P258" s="600"/>
      <c r="Q258" s="601"/>
      <c r="R258" s="596"/>
    </row>
    <row r="259" spans="2:18" s="598" customFormat="1" ht="15">
      <c r="B259" s="1494" t="s">
        <v>912</v>
      </c>
      <c r="C259" s="1322"/>
      <c r="D259" s="1322"/>
      <c r="E259" s="1322"/>
      <c r="F259" s="1322"/>
      <c r="H259" s="599">
        <v>5445800</v>
      </c>
      <c r="I259" s="599"/>
      <c r="J259" s="635">
        <v>5445800</v>
      </c>
      <c r="L259" s="596"/>
      <c r="M259" s="597"/>
      <c r="N259" s="596"/>
      <c r="O259" s="600"/>
      <c r="P259" s="600"/>
      <c r="Q259" s="601"/>
      <c r="R259" s="596"/>
    </row>
    <row r="260" spans="2:18" s="598" customFormat="1" ht="15">
      <c r="B260" s="1494" t="s">
        <v>913</v>
      </c>
      <c r="C260" s="1322"/>
      <c r="D260" s="1322"/>
      <c r="E260" s="1322"/>
      <c r="F260" s="1322"/>
      <c r="H260" s="599">
        <v>3915596157</v>
      </c>
      <c r="I260" s="599"/>
      <c r="J260" s="635">
        <v>4079462157</v>
      </c>
      <c r="L260" s="596"/>
      <c r="M260" s="597"/>
      <c r="N260" s="596"/>
      <c r="O260" s="600"/>
      <c r="P260" s="600"/>
      <c r="Q260" s="601"/>
      <c r="R260" s="596"/>
    </row>
    <row r="261" spans="2:18" s="598" customFormat="1" ht="15" hidden="1">
      <c r="B261" s="1494" t="s">
        <v>914</v>
      </c>
      <c r="C261" s="1322"/>
      <c r="D261" s="1322"/>
      <c r="E261" s="1322"/>
      <c r="F261" s="1322"/>
      <c r="H261" s="599"/>
      <c r="I261" s="599"/>
      <c r="J261" s="599"/>
      <c r="L261" s="596"/>
      <c r="M261" s="597"/>
      <c r="N261" s="596"/>
      <c r="O261" s="600"/>
      <c r="P261" s="600"/>
      <c r="Q261" s="601"/>
      <c r="R261" s="596"/>
    </row>
    <row r="262" spans="2:18" s="598" customFormat="1" ht="15" hidden="1">
      <c r="B262" s="1494" t="s">
        <v>915</v>
      </c>
      <c r="C262" s="1322"/>
      <c r="D262" s="1322"/>
      <c r="E262" s="1322"/>
      <c r="F262" s="1322"/>
      <c r="H262" s="599"/>
      <c r="I262" s="599"/>
      <c r="J262" s="599"/>
      <c r="L262" s="596"/>
      <c r="M262" s="597"/>
      <c r="N262" s="596"/>
      <c r="O262" s="600"/>
      <c r="P262" s="600"/>
      <c r="Q262" s="601"/>
      <c r="R262" s="596"/>
    </row>
    <row r="263" spans="2:18" s="598" customFormat="1" ht="15">
      <c r="B263" s="1494" t="s">
        <v>1620</v>
      </c>
      <c r="C263" s="1322"/>
      <c r="D263" s="1322"/>
      <c r="E263" s="1322"/>
      <c r="F263" s="1322"/>
      <c r="H263" s="599">
        <v>19634594</v>
      </c>
      <c r="I263" s="599"/>
      <c r="J263" s="599">
        <v>0</v>
      </c>
      <c r="L263" s="596"/>
      <c r="M263" s="597"/>
      <c r="N263" s="596"/>
      <c r="O263" s="600"/>
      <c r="P263" s="600"/>
      <c r="Q263" s="601"/>
      <c r="R263" s="596"/>
    </row>
    <row r="264" spans="2:18" s="598" customFormat="1" ht="15">
      <c r="B264" s="1494" t="s">
        <v>589</v>
      </c>
      <c r="C264" s="1322"/>
      <c r="D264" s="1322"/>
      <c r="E264" s="1322"/>
      <c r="F264" s="1322"/>
      <c r="H264" s="599">
        <v>0</v>
      </c>
      <c r="I264" s="599"/>
      <c r="J264" s="635">
        <v>4945319072</v>
      </c>
      <c r="L264" s="596"/>
      <c r="M264" s="597"/>
      <c r="N264" s="596"/>
      <c r="O264" s="600"/>
      <c r="P264" s="600"/>
      <c r="Q264" s="601"/>
      <c r="R264" s="596"/>
    </row>
    <row r="265" spans="2:18" s="598" customFormat="1" ht="15" hidden="1">
      <c r="B265" s="1494" t="s">
        <v>916</v>
      </c>
      <c r="C265" s="1322"/>
      <c r="D265" s="1322"/>
      <c r="E265" s="1322"/>
      <c r="F265" s="1322"/>
      <c r="H265" s="599"/>
      <c r="I265" s="599"/>
      <c r="J265" s="599"/>
      <c r="L265" s="596"/>
      <c r="M265" s="597"/>
      <c r="N265" s="596"/>
      <c r="O265" s="600"/>
      <c r="P265" s="600"/>
      <c r="Q265" s="601"/>
      <c r="R265" s="596"/>
    </row>
    <row r="266" spans="2:18" s="598" customFormat="1" ht="15">
      <c r="B266" s="1494" t="s">
        <v>743</v>
      </c>
      <c r="C266" s="1322"/>
      <c r="D266" s="1322"/>
      <c r="E266" s="1322"/>
      <c r="F266" s="1322"/>
      <c r="H266" s="599">
        <v>0</v>
      </c>
      <c r="I266" s="599"/>
      <c r="J266" s="635">
        <v>680000000</v>
      </c>
      <c r="L266" s="596"/>
      <c r="M266" s="597"/>
      <c r="N266" s="596"/>
      <c r="O266" s="600"/>
      <c r="P266" s="600"/>
      <c r="Q266" s="601"/>
      <c r="R266" s="596"/>
    </row>
    <row r="267" spans="2:18" s="598" customFormat="1" ht="15">
      <c r="B267" s="1494" t="s">
        <v>917</v>
      </c>
      <c r="C267" s="1322"/>
      <c r="D267" s="1322"/>
      <c r="E267" s="1322"/>
      <c r="F267" s="1322"/>
      <c r="H267" s="599">
        <v>186222662</v>
      </c>
      <c r="I267" s="599"/>
      <c r="J267" s="635">
        <v>186222662</v>
      </c>
      <c r="L267" s="596"/>
      <c r="M267" s="597"/>
      <c r="N267" s="596"/>
      <c r="O267" s="600"/>
      <c r="P267" s="600"/>
      <c r="Q267" s="601"/>
      <c r="R267" s="596"/>
    </row>
    <row r="268" spans="2:18" s="598" customFormat="1" ht="15">
      <c r="B268" s="1494" t="s">
        <v>918</v>
      </c>
      <c r="C268" s="1322"/>
      <c r="D268" s="1322"/>
      <c r="E268" s="1322"/>
      <c r="F268" s="1322"/>
      <c r="H268" s="599">
        <v>1053004196</v>
      </c>
      <c r="I268" s="599"/>
      <c r="J268" s="635">
        <v>1053004196</v>
      </c>
      <c r="L268" s="596"/>
      <c r="M268" s="597"/>
      <c r="N268" s="596"/>
      <c r="O268" s="600"/>
      <c r="P268" s="600"/>
      <c r="Q268" s="601"/>
      <c r="R268" s="596"/>
    </row>
    <row r="269" spans="2:18" s="598" customFormat="1" ht="15">
      <c r="B269" s="1494" t="s">
        <v>919</v>
      </c>
      <c r="C269" s="1322"/>
      <c r="D269" s="1322"/>
      <c r="E269" s="1322"/>
      <c r="F269" s="1322"/>
      <c r="H269" s="599">
        <v>61961570</v>
      </c>
      <c r="I269" s="599"/>
      <c r="J269" s="599">
        <v>61961570</v>
      </c>
      <c r="L269" s="596"/>
      <c r="M269" s="597"/>
      <c r="N269" s="596"/>
      <c r="O269" s="600"/>
      <c r="P269" s="600"/>
      <c r="Q269" s="601"/>
      <c r="R269" s="596"/>
    </row>
    <row r="270" spans="2:18" s="598" customFormat="1" ht="15">
      <c r="B270" s="1494" t="s">
        <v>7</v>
      </c>
      <c r="C270" s="1322"/>
      <c r="D270" s="1322"/>
      <c r="E270" s="1322"/>
      <c r="F270" s="1322"/>
      <c r="H270" s="599">
        <v>817416000</v>
      </c>
      <c r="I270" s="599"/>
      <c r="J270" s="599">
        <v>817416000</v>
      </c>
      <c r="L270" s="596"/>
      <c r="M270" s="597"/>
      <c r="N270" s="596"/>
      <c r="O270" s="600"/>
      <c r="P270" s="600"/>
      <c r="Q270" s="601"/>
      <c r="R270" s="596"/>
    </row>
    <row r="271" spans="2:18" s="598" customFormat="1" ht="15">
      <c r="B271" s="1494" t="s">
        <v>8</v>
      </c>
      <c r="C271" s="1322"/>
      <c r="D271" s="1322"/>
      <c r="E271" s="1322"/>
      <c r="F271" s="1322"/>
      <c r="H271" s="599">
        <v>90769851</v>
      </c>
      <c r="I271" s="599"/>
      <c r="J271" s="599">
        <v>90769851</v>
      </c>
      <c r="L271" s="596"/>
      <c r="M271" s="597"/>
      <c r="N271" s="596"/>
      <c r="O271" s="600"/>
      <c r="P271" s="600"/>
      <c r="Q271" s="601"/>
      <c r="R271" s="596"/>
    </row>
    <row r="272" spans="2:18" s="598" customFormat="1" ht="15">
      <c r="B272" s="1494" t="s">
        <v>896</v>
      </c>
      <c r="C272" s="1322"/>
      <c r="D272" s="1322"/>
      <c r="E272" s="1322"/>
      <c r="F272" s="1322"/>
      <c r="H272" s="599">
        <v>2507729887</v>
      </c>
      <c r="I272" s="599"/>
      <c r="J272" s="635">
        <v>2507729887</v>
      </c>
      <c r="L272" s="596"/>
      <c r="M272" s="597"/>
      <c r="N272" s="596"/>
      <c r="O272" s="600"/>
      <c r="P272" s="600"/>
      <c r="Q272" s="601"/>
      <c r="R272" s="596"/>
    </row>
    <row r="273" spans="2:18" s="598" customFormat="1" ht="15">
      <c r="B273" s="1494" t="s">
        <v>9</v>
      </c>
      <c r="C273" s="1322"/>
      <c r="D273" s="1322"/>
      <c r="E273" s="1322"/>
      <c r="F273" s="1322"/>
      <c r="H273" s="599">
        <v>0</v>
      </c>
      <c r="I273" s="599"/>
      <c r="J273" s="599">
        <v>0</v>
      </c>
      <c r="L273" s="596"/>
      <c r="M273" s="597"/>
      <c r="N273" s="596"/>
      <c r="O273" s="600"/>
      <c r="P273" s="600"/>
      <c r="Q273" s="601"/>
      <c r="R273" s="596"/>
    </row>
    <row r="274" spans="2:18" s="598" customFormat="1" ht="15">
      <c r="B274" s="1494" t="s">
        <v>10</v>
      </c>
      <c r="C274" s="1322"/>
      <c r="D274" s="1322"/>
      <c r="E274" s="1322"/>
      <c r="F274" s="1322"/>
      <c r="H274" s="599">
        <v>8351814105</v>
      </c>
      <c r="I274" s="599"/>
      <c r="J274" s="635">
        <v>8955838260</v>
      </c>
      <c r="L274" s="596"/>
      <c r="M274" s="597"/>
      <c r="N274" s="596"/>
      <c r="O274" s="600"/>
      <c r="P274" s="600"/>
      <c r="Q274" s="601"/>
      <c r="R274" s="596"/>
    </row>
    <row r="275" spans="2:18" s="598" customFormat="1" ht="15">
      <c r="B275" s="1494" t="s">
        <v>11</v>
      </c>
      <c r="C275" s="1322"/>
      <c r="D275" s="1322"/>
      <c r="E275" s="1322"/>
      <c r="F275" s="1322"/>
      <c r="H275" s="599">
        <v>11843782540</v>
      </c>
      <c r="I275" s="599"/>
      <c r="J275" s="635">
        <v>29785336790</v>
      </c>
      <c r="L275" s="596"/>
      <c r="M275" s="597"/>
      <c r="N275" s="596"/>
      <c r="O275" s="600"/>
      <c r="P275" s="600"/>
      <c r="Q275" s="601"/>
      <c r="R275" s="596"/>
    </row>
    <row r="276" spans="2:18" s="598" customFormat="1" ht="15">
      <c r="B276" s="1494" t="s">
        <v>1625</v>
      </c>
      <c r="C276" s="1322"/>
      <c r="D276" s="1322"/>
      <c r="E276" s="1322"/>
      <c r="F276" s="1322"/>
      <c r="H276" s="599">
        <v>8320000</v>
      </c>
      <c r="I276" s="599"/>
      <c r="J276" s="599">
        <v>0</v>
      </c>
      <c r="L276" s="596"/>
      <c r="M276" s="597"/>
      <c r="N276" s="596"/>
      <c r="O276" s="600"/>
      <c r="P276" s="600"/>
      <c r="Q276" s="601"/>
      <c r="R276" s="596"/>
    </row>
    <row r="277" spans="2:18" s="598" customFormat="1" ht="15">
      <c r="B277" s="1494" t="s">
        <v>1626</v>
      </c>
      <c r="C277" s="1322"/>
      <c r="D277" s="1322"/>
      <c r="E277" s="1322"/>
      <c r="F277" s="1322"/>
      <c r="H277" s="635">
        <v>315973161</v>
      </c>
      <c r="I277" s="599"/>
      <c r="J277" s="599">
        <v>0</v>
      </c>
      <c r="L277" s="596"/>
      <c r="M277" s="597"/>
      <c r="N277" s="596"/>
      <c r="O277" s="600"/>
      <c r="P277" s="600"/>
      <c r="Q277" s="601"/>
      <c r="R277" s="596"/>
    </row>
    <row r="278" spans="2:18" s="598" customFormat="1" ht="15" hidden="1">
      <c r="B278" s="1494" t="s">
        <v>12</v>
      </c>
      <c r="C278" s="1322"/>
      <c r="D278" s="1322"/>
      <c r="E278" s="1322"/>
      <c r="F278" s="1322"/>
      <c r="H278" s="599">
        <v>0</v>
      </c>
      <c r="I278" s="599"/>
      <c r="J278" s="599">
        <v>0</v>
      </c>
      <c r="L278" s="596"/>
      <c r="M278" s="597"/>
      <c r="N278" s="596"/>
      <c r="O278" s="600"/>
      <c r="P278" s="600"/>
      <c r="Q278" s="601"/>
      <c r="R278" s="596"/>
    </row>
    <row r="279" spans="2:18" s="598" customFormat="1" ht="15">
      <c r="B279" s="1494" t="s">
        <v>13</v>
      </c>
      <c r="C279" s="1322"/>
      <c r="D279" s="1322"/>
      <c r="E279" s="1322"/>
      <c r="F279" s="1322"/>
      <c r="H279" s="599">
        <v>291378800</v>
      </c>
      <c r="I279" s="599"/>
      <c r="J279" s="635">
        <v>291378800</v>
      </c>
      <c r="L279" s="596"/>
      <c r="M279" s="597"/>
      <c r="N279" s="596"/>
      <c r="O279" s="600"/>
      <c r="P279" s="600"/>
      <c r="Q279" s="601"/>
      <c r="R279" s="596"/>
    </row>
    <row r="280" spans="2:18" s="598" customFormat="1" ht="15" hidden="1">
      <c r="B280" s="1494" t="s">
        <v>14</v>
      </c>
      <c r="C280" s="1322"/>
      <c r="D280" s="1322"/>
      <c r="E280" s="1322"/>
      <c r="F280" s="1322"/>
      <c r="H280" s="599"/>
      <c r="I280" s="599"/>
      <c r="J280" s="599"/>
      <c r="L280" s="596"/>
      <c r="M280" s="597"/>
      <c r="N280" s="596"/>
      <c r="O280" s="600"/>
      <c r="P280" s="600"/>
      <c r="Q280" s="601"/>
      <c r="R280" s="596"/>
    </row>
    <row r="281" spans="2:18" s="598" customFormat="1" ht="15">
      <c r="B281" s="1494" t="s">
        <v>15</v>
      </c>
      <c r="C281" s="1322"/>
      <c r="D281" s="1322"/>
      <c r="E281" s="1322"/>
      <c r="F281" s="1322"/>
      <c r="H281" s="599">
        <v>210793030</v>
      </c>
      <c r="I281" s="599"/>
      <c r="J281" s="635">
        <v>210793030</v>
      </c>
      <c r="L281" s="596"/>
      <c r="M281" s="597"/>
      <c r="N281" s="596"/>
      <c r="O281" s="600"/>
      <c r="P281" s="600"/>
      <c r="Q281" s="601"/>
      <c r="R281" s="596"/>
    </row>
    <row r="282" spans="2:18" s="598" customFormat="1" ht="15">
      <c r="B282" s="1494" t="s">
        <v>16</v>
      </c>
      <c r="C282" s="1322"/>
      <c r="D282" s="1322"/>
      <c r="E282" s="1322"/>
      <c r="F282" s="1322"/>
      <c r="H282" s="599">
        <v>3829493289</v>
      </c>
      <c r="I282" s="599"/>
      <c r="J282" s="635">
        <v>7702632793</v>
      </c>
      <c r="L282" s="596"/>
      <c r="M282" s="597"/>
      <c r="N282" s="596"/>
      <c r="O282" s="600"/>
      <c r="P282" s="600"/>
      <c r="Q282" s="601"/>
      <c r="R282" s="596"/>
    </row>
    <row r="283" spans="2:18" s="598" customFormat="1" ht="15" hidden="1">
      <c r="B283" s="1494" t="s">
        <v>17</v>
      </c>
      <c r="C283" s="1322"/>
      <c r="D283" s="1322"/>
      <c r="E283" s="1322"/>
      <c r="F283" s="1322"/>
      <c r="H283" s="599"/>
      <c r="I283" s="599"/>
      <c r="J283" s="599"/>
      <c r="L283" s="596"/>
      <c r="M283" s="597"/>
      <c r="N283" s="596"/>
      <c r="O283" s="600"/>
      <c r="P283" s="600"/>
      <c r="Q283" s="601"/>
      <c r="R283" s="596"/>
    </row>
    <row r="284" spans="2:18" s="598" customFormat="1" ht="15">
      <c r="B284" s="1494" t="s">
        <v>744</v>
      </c>
      <c r="C284" s="1322"/>
      <c r="D284" s="1322"/>
      <c r="E284" s="1322"/>
      <c r="F284" s="1322"/>
      <c r="H284" s="599">
        <v>0</v>
      </c>
      <c r="I284" s="599"/>
      <c r="J284" s="635">
        <v>436590000</v>
      </c>
      <c r="L284" s="596"/>
      <c r="M284" s="597"/>
      <c r="N284" s="596"/>
      <c r="O284" s="600"/>
      <c r="P284" s="600"/>
      <c r="Q284" s="601"/>
      <c r="R284" s="596"/>
    </row>
    <row r="285" spans="2:18" s="598" customFormat="1" ht="15">
      <c r="B285" s="1494" t="s">
        <v>18</v>
      </c>
      <c r="C285" s="1322"/>
      <c r="D285" s="1322"/>
      <c r="E285" s="1322"/>
      <c r="F285" s="1322"/>
      <c r="H285" s="599">
        <v>0</v>
      </c>
      <c r="I285" s="599"/>
      <c r="J285" s="635">
        <v>174514850</v>
      </c>
      <c r="L285" s="596"/>
      <c r="M285" s="597"/>
      <c r="N285" s="596"/>
      <c r="O285" s="600"/>
      <c r="P285" s="600"/>
      <c r="Q285" s="601"/>
      <c r="R285" s="596"/>
    </row>
    <row r="286" spans="2:18" s="598" customFormat="1" ht="15">
      <c r="B286" s="1494" t="s">
        <v>19</v>
      </c>
      <c r="C286" s="1322"/>
      <c r="D286" s="1322"/>
      <c r="E286" s="1322"/>
      <c r="F286" s="1322"/>
      <c r="H286" s="599">
        <v>3176541957</v>
      </c>
      <c r="I286" s="599"/>
      <c r="J286" s="635">
        <v>3176541957</v>
      </c>
      <c r="L286" s="596"/>
      <c r="M286" s="597"/>
      <c r="N286" s="596"/>
      <c r="O286" s="600"/>
      <c r="P286" s="600"/>
      <c r="Q286" s="601"/>
      <c r="R286" s="596"/>
    </row>
    <row r="287" spans="2:18" s="598" customFormat="1" ht="15" hidden="1">
      <c r="B287" s="1494" t="s">
        <v>20</v>
      </c>
      <c r="C287" s="1322"/>
      <c r="D287" s="1322"/>
      <c r="E287" s="1322"/>
      <c r="F287" s="1322"/>
      <c r="H287" s="599"/>
      <c r="I287" s="599"/>
      <c r="J287" s="599"/>
      <c r="L287" s="596"/>
      <c r="M287" s="597"/>
      <c r="N287" s="596"/>
      <c r="O287" s="600"/>
      <c r="P287" s="600"/>
      <c r="Q287" s="601"/>
      <c r="R287" s="596"/>
    </row>
    <row r="288" spans="2:18" s="598" customFormat="1" ht="15">
      <c r="B288" s="1494" t="s">
        <v>21</v>
      </c>
      <c r="C288" s="1322"/>
      <c r="D288" s="1322"/>
      <c r="E288" s="1322"/>
      <c r="F288" s="1322"/>
      <c r="H288" s="599">
        <v>13000000000</v>
      </c>
      <c r="I288" s="599"/>
      <c r="J288" s="635">
        <v>13000000000</v>
      </c>
      <c r="L288" s="596"/>
      <c r="M288" s="597"/>
      <c r="N288" s="596"/>
      <c r="O288" s="600"/>
      <c r="P288" s="600"/>
      <c r="Q288" s="601"/>
      <c r="R288" s="596"/>
    </row>
    <row r="289" spans="2:18" s="598" customFormat="1" ht="15">
      <c r="B289" s="1494" t="s">
        <v>911</v>
      </c>
      <c r="C289" s="1322"/>
      <c r="D289" s="1322"/>
      <c r="E289" s="1322"/>
      <c r="F289" s="1322"/>
      <c r="H289" s="599">
        <v>0</v>
      </c>
      <c r="I289" s="599"/>
      <c r="J289" s="635">
        <v>3715359898</v>
      </c>
      <c r="L289" s="596"/>
      <c r="M289" s="597"/>
      <c r="N289" s="596"/>
      <c r="O289" s="600"/>
      <c r="P289" s="600"/>
      <c r="Q289" s="601"/>
      <c r="R289" s="596"/>
    </row>
    <row r="290" spans="2:18" s="598" customFormat="1" ht="15" hidden="1">
      <c r="B290" s="1494" t="s">
        <v>914</v>
      </c>
      <c r="C290" s="1322"/>
      <c r="D290" s="1322"/>
      <c r="E290" s="1322"/>
      <c r="F290" s="1322"/>
      <c r="H290" s="599"/>
      <c r="I290" s="599"/>
      <c r="J290" s="599"/>
      <c r="L290" s="596"/>
      <c r="M290" s="597"/>
      <c r="N290" s="596"/>
      <c r="O290" s="600"/>
      <c r="P290" s="600"/>
      <c r="Q290" s="601"/>
      <c r="R290" s="596"/>
    </row>
    <row r="291" spans="2:18" s="598" customFormat="1" ht="15">
      <c r="B291" s="1494" t="s">
        <v>22</v>
      </c>
      <c r="C291" s="1322"/>
      <c r="D291" s="1322"/>
      <c r="E291" s="1322"/>
      <c r="F291" s="1322"/>
      <c r="H291" s="599">
        <v>728791274</v>
      </c>
      <c r="I291" s="599"/>
      <c r="J291" s="635">
        <v>728791274</v>
      </c>
      <c r="L291" s="596"/>
      <c r="M291" s="597"/>
      <c r="N291" s="596"/>
      <c r="O291" s="600"/>
      <c r="P291" s="600"/>
      <c r="Q291" s="601"/>
      <c r="R291" s="596"/>
    </row>
    <row r="292" spans="2:18" s="598" customFormat="1" ht="15" hidden="1">
      <c r="B292" s="1494" t="s">
        <v>23</v>
      </c>
      <c r="C292" s="1322"/>
      <c r="D292" s="1322"/>
      <c r="E292" s="1322"/>
      <c r="F292" s="1322"/>
      <c r="H292" s="599"/>
      <c r="I292" s="599"/>
      <c r="J292" s="599"/>
      <c r="L292" s="596"/>
      <c r="M292" s="597"/>
      <c r="N292" s="596"/>
      <c r="O292" s="600"/>
      <c r="P292" s="600"/>
      <c r="Q292" s="601"/>
      <c r="R292" s="596"/>
    </row>
    <row r="293" spans="2:18" s="598" customFormat="1" ht="15" hidden="1">
      <c r="B293" s="1494" t="s">
        <v>548</v>
      </c>
      <c r="C293" s="1322"/>
      <c r="D293" s="1322"/>
      <c r="E293" s="1322"/>
      <c r="F293" s="1322"/>
      <c r="H293" s="599"/>
      <c r="I293" s="599"/>
      <c r="J293" s="599"/>
      <c r="L293" s="596"/>
      <c r="M293" s="597"/>
      <c r="N293" s="596"/>
      <c r="O293" s="600"/>
      <c r="P293" s="600"/>
      <c r="Q293" s="601"/>
      <c r="R293" s="596"/>
    </row>
    <row r="294" spans="2:18" s="598" customFormat="1" ht="15">
      <c r="B294" s="1494" t="s">
        <v>742</v>
      </c>
      <c r="C294" s="1322"/>
      <c r="D294" s="1322"/>
      <c r="E294" s="1322"/>
      <c r="F294" s="1322"/>
      <c r="H294" s="599">
        <v>0</v>
      </c>
      <c r="I294" s="599"/>
      <c r="J294" s="635">
        <v>453982874</v>
      </c>
      <c r="L294" s="596"/>
      <c r="M294" s="597"/>
      <c r="N294" s="596"/>
      <c r="O294" s="600"/>
      <c r="P294" s="600"/>
      <c r="Q294" s="601"/>
      <c r="R294" s="596"/>
    </row>
    <row r="295" spans="2:18" s="598" customFormat="1" ht="15">
      <c r="B295" s="1494" t="s">
        <v>549</v>
      </c>
      <c r="C295" s="1322"/>
      <c r="D295" s="1322"/>
      <c r="E295" s="1322"/>
      <c r="F295" s="1322"/>
      <c r="H295" s="599">
        <v>2262813155</v>
      </c>
      <c r="I295" s="599"/>
      <c r="J295" s="635">
        <v>2262813155</v>
      </c>
      <c r="L295" s="596"/>
      <c r="M295" s="597"/>
      <c r="N295" s="596"/>
      <c r="O295" s="600"/>
      <c r="P295" s="600"/>
      <c r="Q295" s="601"/>
      <c r="R295" s="596"/>
    </row>
    <row r="296" spans="2:18" s="598" customFormat="1" ht="15">
      <c r="B296" s="1494" t="s">
        <v>550</v>
      </c>
      <c r="C296" s="1322"/>
      <c r="D296" s="1322"/>
      <c r="E296" s="1322"/>
      <c r="F296" s="1322"/>
      <c r="H296" s="599">
        <v>1966032834</v>
      </c>
      <c r="I296" s="599"/>
      <c r="J296" s="635">
        <v>1966032834</v>
      </c>
      <c r="L296" s="596"/>
      <c r="M296" s="597"/>
      <c r="N296" s="596"/>
      <c r="O296" s="600"/>
      <c r="P296" s="600"/>
      <c r="Q296" s="601"/>
      <c r="R296" s="596"/>
    </row>
    <row r="297" spans="2:18" s="598" customFormat="1" ht="15">
      <c r="B297" s="1494" t="s">
        <v>745</v>
      </c>
      <c r="C297" s="1322"/>
      <c r="D297" s="1322"/>
      <c r="E297" s="1322"/>
      <c r="F297" s="1322"/>
      <c r="H297" s="599">
        <v>0</v>
      </c>
      <c r="I297" s="599"/>
      <c r="J297" s="635">
        <v>3745486329</v>
      </c>
      <c r="L297" s="596"/>
      <c r="M297" s="597"/>
      <c r="N297" s="596"/>
      <c r="O297" s="600"/>
      <c r="P297" s="600"/>
      <c r="Q297" s="601"/>
      <c r="R297" s="596"/>
    </row>
    <row r="298" spans="2:18" s="598" customFormat="1" ht="15">
      <c r="B298" s="1494" t="s">
        <v>551</v>
      </c>
      <c r="C298" s="1322"/>
      <c r="D298" s="1322"/>
      <c r="E298" s="1322"/>
      <c r="F298" s="1322"/>
      <c r="H298" s="599">
        <v>1265519000</v>
      </c>
      <c r="I298" s="599"/>
      <c r="J298" s="635">
        <v>2765519000</v>
      </c>
      <c r="L298" s="596"/>
      <c r="M298" s="597"/>
      <c r="N298" s="596"/>
      <c r="O298" s="600"/>
      <c r="P298" s="600"/>
      <c r="Q298" s="601"/>
      <c r="R298" s="596"/>
    </row>
    <row r="299" spans="2:18" s="598" customFormat="1" ht="15">
      <c r="B299" s="1494" t="s">
        <v>1588</v>
      </c>
      <c r="C299" s="1322"/>
      <c r="D299" s="1322"/>
      <c r="E299" s="1322"/>
      <c r="F299" s="1322"/>
      <c r="H299" s="599">
        <v>2934075957</v>
      </c>
      <c r="I299" s="599"/>
      <c r="J299" s="635">
        <v>2934075957</v>
      </c>
      <c r="L299" s="596"/>
      <c r="M299" s="597"/>
      <c r="N299" s="596"/>
      <c r="O299" s="600"/>
      <c r="P299" s="600"/>
      <c r="Q299" s="601"/>
      <c r="R299" s="596"/>
    </row>
    <row r="300" spans="2:18" s="598" customFormat="1" ht="15">
      <c r="B300" s="1521" t="s">
        <v>1615</v>
      </c>
      <c r="C300" s="1322"/>
      <c r="D300" s="1322"/>
      <c r="E300" s="1322"/>
      <c r="F300" s="1322"/>
      <c r="H300" s="599">
        <v>1515887280</v>
      </c>
      <c r="I300" s="599"/>
      <c r="J300" s="635">
        <v>1850786000</v>
      </c>
      <c r="L300" s="596"/>
      <c r="M300" s="597"/>
      <c r="N300" s="596"/>
      <c r="O300" s="600"/>
      <c r="P300" s="600"/>
      <c r="Q300" s="601"/>
      <c r="R300" s="596"/>
    </row>
    <row r="301" spans="2:18" s="598" customFormat="1" ht="15">
      <c r="B301" s="1495" t="s">
        <v>35</v>
      </c>
      <c r="C301" s="1322"/>
      <c r="D301" s="1322"/>
      <c r="E301" s="1322"/>
      <c r="F301" s="1322"/>
      <c r="H301" s="599">
        <v>36492476</v>
      </c>
      <c r="I301" s="599"/>
      <c r="J301" s="635">
        <v>36492476</v>
      </c>
      <c r="L301" s="596"/>
      <c r="M301" s="597"/>
      <c r="N301" s="596"/>
      <c r="O301" s="600"/>
      <c r="P301" s="600"/>
      <c r="Q301" s="601"/>
      <c r="R301" s="596"/>
    </row>
    <row r="302" spans="2:18" s="598" customFormat="1" ht="15">
      <c r="B302" s="1495" t="s">
        <v>1623</v>
      </c>
      <c r="C302" s="1322"/>
      <c r="D302" s="1322"/>
      <c r="E302" s="1322"/>
      <c r="F302" s="1322"/>
      <c r="H302" s="599">
        <v>193682000</v>
      </c>
      <c r="I302" s="599"/>
      <c r="J302" s="635">
        <v>193682000</v>
      </c>
      <c r="L302" s="596"/>
      <c r="M302" s="597"/>
      <c r="N302" s="596"/>
      <c r="O302" s="600"/>
      <c r="P302" s="600"/>
      <c r="Q302" s="601"/>
      <c r="R302" s="596"/>
    </row>
    <row r="303" spans="2:18" s="598" customFormat="1" ht="15">
      <c r="B303" s="1495" t="s">
        <v>36</v>
      </c>
      <c r="C303" s="1322"/>
      <c r="D303" s="1322"/>
      <c r="E303" s="1322"/>
      <c r="F303" s="1322"/>
      <c r="H303" s="599">
        <v>880779000</v>
      </c>
      <c r="I303" s="599"/>
      <c r="J303" s="635">
        <v>880779000</v>
      </c>
      <c r="L303" s="596"/>
      <c r="M303" s="597"/>
      <c r="N303" s="596"/>
      <c r="O303" s="600"/>
      <c r="P303" s="600"/>
      <c r="Q303" s="601"/>
      <c r="R303" s="596"/>
    </row>
    <row r="304" spans="2:18" s="598" customFormat="1" ht="15">
      <c r="B304" s="1495" t="s">
        <v>1005</v>
      </c>
      <c r="C304" s="1322"/>
      <c r="D304" s="1322"/>
      <c r="E304" s="1322"/>
      <c r="F304" s="1322"/>
      <c r="H304" s="599">
        <v>20605947288</v>
      </c>
      <c r="I304" s="599"/>
      <c r="J304" s="635">
        <v>23605947288</v>
      </c>
      <c r="L304" s="596"/>
      <c r="M304" s="597"/>
      <c r="N304" s="596"/>
      <c r="O304" s="600"/>
      <c r="P304" s="600"/>
      <c r="Q304" s="601"/>
      <c r="R304" s="596"/>
    </row>
    <row r="305" spans="1:18" s="598" customFormat="1" ht="15">
      <c r="B305" s="1495" t="s">
        <v>1616</v>
      </c>
      <c r="C305" s="1322"/>
      <c r="D305" s="1322"/>
      <c r="E305" s="1322"/>
      <c r="F305" s="1322"/>
      <c r="H305" s="599">
        <v>345278670</v>
      </c>
      <c r="I305" s="599"/>
      <c r="J305" s="635">
        <v>345278670</v>
      </c>
      <c r="L305" s="596"/>
      <c r="M305" s="597"/>
      <c r="N305" s="596"/>
      <c r="O305" s="600"/>
      <c r="P305" s="600"/>
      <c r="Q305" s="601"/>
      <c r="R305" s="596"/>
    </row>
    <row r="306" spans="1:18" s="598" customFormat="1" ht="15" hidden="1">
      <c r="B306" s="1495" t="s">
        <v>1006</v>
      </c>
      <c r="C306" s="1322"/>
      <c r="D306" s="1322"/>
      <c r="E306" s="1322"/>
      <c r="F306" s="1322"/>
      <c r="H306" s="599"/>
      <c r="I306" s="599"/>
      <c r="J306" s="599"/>
      <c r="L306" s="596"/>
      <c r="M306" s="597"/>
      <c r="N306" s="596"/>
      <c r="O306" s="600"/>
      <c r="P306" s="600"/>
      <c r="Q306" s="601"/>
      <c r="R306" s="596"/>
    </row>
    <row r="307" spans="1:18" s="598" customFormat="1" ht="15">
      <c r="B307" s="1495" t="s">
        <v>1007</v>
      </c>
      <c r="C307" s="1322"/>
      <c r="D307" s="1322"/>
      <c r="E307" s="1322"/>
      <c r="F307" s="1322"/>
      <c r="H307" s="635">
        <v>4762079820</v>
      </c>
      <c r="I307" s="599"/>
      <c r="J307" s="599">
        <v>0</v>
      </c>
      <c r="L307" s="596"/>
      <c r="M307" s="597"/>
      <c r="N307" s="596"/>
      <c r="O307" s="600"/>
      <c r="P307" s="600"/>
      <c r="Q307" s="601"/>
      <c r="R307" s="596"/>
    </row>
    <row r="308" spans="1:18" s="598" customFormat="1" ht="15">
      <c r="B308" s="1495" t="s">
        <v>400</v>
      </c>
      <c r="C308" s="1322"/>
      <c r="D308" s="1322"/>
      <c r="E308" s="1322"/>
      <c r="F308" s="1322"/>
      <c r="H308" s="599">
        <v>0</v>
      </c>
      <c r="I308" s="599"/>
      <c r="J308" s="635">
        <v>503324680</v>
      </c>
      <c r="L308" s="596"/>
      <c r="M308" s="597"/>
      <c r="N308" s="596"/>
      <c r="O308" s="600"/>
      <c r="P308" s="600"/>
      <c r="Q308" s="601"/>
      <c r="R308" s="596"/>
    </row>
    <row r="309" spans="1:18" s="598" customFormat="1" ht="15" hidden="1">
      <c r="B309" s="1495" t="s">
        <v>1008</v>
      </c>
      <c r="C309" s="1322"/>
      <c r="D309" s="1322"/>
      <c r="E309" s="1322"/>
      <c r="F309" s="1322"/>
      <c r="H309" s="599">
        <v>0</v>
      </c>
      <c r="I309" s="599"/>
      <c r="J309" s="599"/>
      <c r="L309" s="596"/>
      <c r="M309" s="597"/>
      <c r="N309" s="596"/>
      <c r="O309" s="600"/>
      <c r="P309" s="600"/>
      <c r="Q309" s="601"/>
      <c r="R309" s="596"/>
    </row>
    <row r="310" spans="1:18" s="598" customFormat="1" ht="15">
      <c r="B310" s="1495" t="s">
        <v>1009</v>
      </c>
      <c r="C310" s="1322"/>
      <c r="D310" s="1322"/>
      <c r="E310" s="1322"/>
      <c r="F310" s="1322"/>
      <c r="H310" s="599">
        <v>90716828181</v>
      </c>
      <c r="I310" s="599"/>
      <c r="J310" s="599">
        <v>0</v>
      </c>
      <c r="L310" s="596"/>
      <c r="M310" s="597"/>
      <c r="N310" s="596"/>
      <c r="O310" s="600"/>
      <c r="P310" s="600"/>
      <c r="Q310" s="601"/>
      <c r="R310" s="596"/>
    </row>
    <row r="311" spans="1:18" s="598" customFormat="1" ht="15">
      <c r="B311" s="1495" t="s">
        <v>1624</v>
      </c>
      <c r="C311" s="1323"/>
      <c r="D311" s="1323"/>
      <c r="E311" s="1323"/>
      <c r="F311" s="1323"/>
      <c r="H311" s="599">
        <v>360000000</v>
      </c>
      <c r="I311" s="599"/>
      <c r="J311" s="599">
        <v>0</v>
      </c>
      <c r="L311" s="596"/>
      <c r="M311" s="597"/>
      <c r="N311" s="596"/>
      <c r="O311" s="600"/>
      <c r="P311" s="600"/>
      <c r="Q311" s="601"/>
      <c r="R311" s="596"/>
    </row>
    <row r="312" spans="1:18" s="598" customFormat="1" ht="15" hidden="1">
      <c r="B312" s="1495" t="s">
        <v>1010</v>
      </c>
      <c r="H312" s="599">
        <v>0</v>
      </c>
      <c r="I312" s="599"/>
      <c r="J312" s="599"/>
      <c r="L312" s="596"/>
      <c r="M312" s="597"/>
      <c r="N312" s="596"/>
      <c r="O312" s="600"/>
      <c r="P312" s="600"/>
      <c r="Q312" s="601"/>
      <c r="R312" s="596"/>
    </row>
    <row r="313" spans="1:18" s="598" customFormat="1" ht="15">
      <c r="B313" s="1495" t="s">
        <v>1622</v>
      </c>
      <c r="H313" s="599">
        <v>71030000</v>
      </c>
      <c r="I313" s="599"/>
      <c r="J313" s="599">
        <v>0</v>
      </c>
      <c r="L313" s="596"/>
      <c r="M313" s="597"/>
      <c r="N313" s="596"/>
      <c r="O313" s="600"/>
      <c r="P313" s="600"/>
      <c r="Q313" s="601"/>
      <c r="R313" s="596"/>
    </row>
    <row r="314" spans="1:18" s="598" customFormat="1" ht="15">
      <c r="B314" s="1495" t="s">
        <v>1011</v>
      </c>
      <c r="H314" s="599">
        <v>54441000</v>
      </c>
      <c r="I314" s="599"/>
      <c r="J314" s="635">
        <v>54441000</v>
      </c>
      <c r="L314" s="596"/>
      <c r="M314" s="597"/>
      <c r="N314" s="596"/>
      <c r="O314" s="600"/>
      <c r="P314" s="600"/>
      <c r="Q314" s="601"/>
      <c r="R314" s="596"/>
    </row>
    <row r="315" spans="1:18" s="684" customFormat="1" ht="15">
      <c r="B315" s="1491" t="s">
        <v>1012</v>
      </c>
      <c r="H315" s="1398">
        <v>0</v>
      </c>
      <c r="I315" s="1325"/>
      <c r="J315" s="1398">
        <v>0</v>
      </c>
      <c r="L315" s="626"/>
      <c r="M315" s="632"/>
      <c r="N315" s="626"/>
      <c r="O315" s="642"/>
      <c r="P315" s="642"/>
      <c r="Q315" s="645"/>
      <c r="R315" s="626"/>
    </row>
    <row r="316" spans="1:18" s="598" customFormat="1" ht="15">
      <c r="B316" s="608"/>
      <c r="H316" s="599"/>
      <c r="I316" s="599"/>
      <c r="J316" s="599"/>
      <c r="L316" s="596"/>
      <c r="M316" s="597"/>
      <c r="N316" s="596"/>
      <c r="O316" s="600"/>
      <c r="P316" s="600"/>
      <c r="Q316" s="601"/>
      <c r="R316" s="596"/>
    </row>
    <row r="317" spans="1:18" s="598" customFormat="1" ht="15">
      <c r="A317" s="594" t="s">
        <v>988</v>
      </c>
      <c r="B317" s="604" t="s">
        <v>448</v>
      </c>
      <c r="H317" s="595">
        <f>H318+H387</f>
        <v>34183096413</v>
      </c>
      <c r="I317" s="599"/>
      <c r="J317" s="595">
        <f>J318+J387</f>
        <v>40813427791</v>
      </c>
      <c r="L317" s="596">
        <f>H317-BS!L21</f>
        <v>0</v>
      </c>
      <c r="M317" s="597"/>
      <c r="N317" s="596">
        <f>J317-BS!N21</f>
        <v>0</v>
      </c>
      <c r="O317" s="600"/>
      <c r="P317" s="600"/>
      <c r="Q317" s="601"/>
      <c r="R317" s="596"/>
    </row>
    <row r="318" spans="1:18" s="684" customFormat="1" ht="15">
      <c r="A318" s="631"/>
      <c r="B318" s="1491" t="s">
        <v>892</v>
      </c>
      <c r="H318" s="1398">
        <f>SUM(H319:H385)</f>
        <v>32859296413</v>
      </c>
      <c r="I318" s="1398"/>
      <c r="J318" s="1398">
        <f>SUM(J319:J385)</f>
        <v>39498627791</v>
      </c>
      <c r="L318" s="626"/>
      <c r="M318" s="632"/>
      <c r="N318" s="626"/>
      <c r="O318" s="642"/>
      <c r="P318" s="642"/>
      <c r="Q318" s="645"/>
      <c r="R318" s="626"/>
    </row>
    <row r="319" spans="1:18" s="598" customFormat="1" ht="15">
      <c r="A319" s="594"/>
      <c r="B319" s="1494" t="s">
        <v>1014</v>
      </c>
      <c r="H319" s="599">
        <v>1874990457</v>
      </c>
      <c r="I319" s="599"/>
      <c r="J319" s="635">
        <v>1874990457</v>
      </c>
      <c r="L319" s="596">
        <f>SUM(H319:H375)</f>
        <v>32209911520</v>
      </c>
      <c r="M319" s="597"/>
      <c r="N319" s="596"/>
      <c r="O319" s="600"/>
      <c r="P319" s="600"/>
      <c r="Q319" s="601"/>
      <c r="R319" s="596"/>
    </row>
    <row r="320" spans="1:18" s="598" customFormat="1" ht="15">
      <c r="A320" s="594"/>
      <c r="B320" s="1494" t="s">
        <v>1635</v>
      </c>
      <c r="H320" s="599">
        <v>66000000</v>
      </c>
      <c r="I320" s="599"/>
      <c r="J320" s="599">
        <v>0</v>
      </c>
      <c r="L320" s="596"/>
      <c r="M320" s="597"/>
      <c r="N320" s="596" t="e">
        <f>H318-N322</f>
        <v>#REF!</v>
      </c>
      <c r="O320" s="600"/>
      <c r="P320" s="600"/>
      <c r="Q320" s="601"/>
      <c r="R320" s="596"/>
    </row>
    <row r="321" spans="1:18" s="598" customFormat="1" ht="15">
      <c r="A321" s="594"/>
      <c r="B321" s="1494" t="s">
        <v>1016</v>
      </c>
      <c r="H321" s="599">
        <v>963600000</v>
      </c>
      <c r="I321" s="599"/>
      <c r="J321" s="635">
        <v>963600000</v>
      </c>
      <c r="L321" s="596"/>
      <c r="M321" s="597"/>
      <c r="N321" s="596"/>
      <c r="O321" s="600"/>
      <c r="P321" s="600"/>
      <c r="Q321" s="601"/>
      <c r="R321" s="596"/>
    </row>
    <row r="322" spans="1:18" s="598" customFormat="1" ht="15">
      <c r="A322" s="594"/>
      <c r="B322" s="1494" t="s">
        <v>1017</v>
      </c>
      <c r="H322" s="599">
        <v>0</v>
      </c>
      <c r="I322" s="599"/>
      <c r="J322" s="635">
        <v>1500000000</v>
      </c>
      <c r="L322" s="596"/>
      <c r="M322" s="597"/>
      <c r="N322" s="596" t="e">
        <f>L319+#REF!+H387</f>
        <v>#REF!</v>
      </c>
      <c r="O322" s="600"/>
      <c r="P322" s="600"/>
      <c r="Q322" s="601"/>
      <c r="R322" s="596"/>
    </row>
    <row r="323" spans="1:18" s="598" customFormat="1" ht="15">
      <c r="A323" s="594"/>
      <c r="B323" s="1494" t="s">
        <v>43</v>
      </c>
      <c r="H323" s="599">
        <v>12000000</v>
      </c>
      <c r="I323" s="599"/>
      <c r="J323" s="635">
        <v>12000000</v>
      </c>
      <c r="L323" s="596"/>
      <c r="M323" s="597"/>
      <c r="N323" s="596"/>
      <c r="O323" s="600"/>
      <c r="P323" s="600"/>
      <c r="Q323" s="601"/>
      <c r="R323" s="596"/>
    </row>
    <row r="324" spans="1:18" s="598" customFormat="1" ht="15">
      <c r="A324" s="594"/>
      <c r="B324" s="1494" t="s">
        <v>148</v>
      </c>
      <c r="H324" s="599">
        <v>35000000</v>
      </c>
      <c r="I324" s="599"/>
      <c r="J324" s="599">
        <v>35000000</v>
      </c>
      <c r="L324" s="596"/>
      <c r="M324" s="597"/>
      <c r="N324" s="596"/>
      <c r="O324" s="600"/>
      <c r="P324" s="600"/>
      <c r="Q324" s="601"/>
      <c r="R324" s="596"/>
    </row>
    <row r="325" spans="1:18" s="598" customFormat="1" ht="15">
      <c r="A325" s="594"/>
      <c r="B325" s="1494" t="s">
        <v>44</v>
      </c>
      <c r="H325" s="599">
        <v>0</v>
      </c>
      <c r="I325" s="599"/>
      <c r="J325" s="599">
        <v>0</v>
      </c>
      <c r="L325" s="596"/>
      <c r="M325" s="597"/>
      <c r="N325" s="596"/>
      <c r="O325" s="600"/>
      <c r="P325" s="600"/>
      <c r="Q325" s="601"/>
      <c r="R325" s="596"/>
    </row>
    <row r="326" spans="1:18" s="598" customFormat="1" ht="15">
      <c r="A326" s="594"/>
      <c r="B326" s="1494" t="s">
        <v>153</v>
      </c>
      <c r="H326" s="599">
        <v>0</v>
      </c>
      <c r="I326" s="599"/>
      <c r="J326" s="599">
        <v>10000000</v>
      </c>
      <c r="L326" s="596"/>
      <c r="M326" s="597"/>
      <c r="N326" s="596"/>
      <c r="O326" s="600"/>
      <c r="P326" s="600"/>
      <c r="Q326" s="601"/>
      <c r="R326" s="596"/>
    </row>
    <row r="327" spans="1:18" s="598" customFormat="1" ht="15">
      <c r="A327" s="594"/>
      <c r="B327" s="1494" t="s">
        <v>1636</v>
      </c>
      <c r="H327" s="599">
        <v>25791723</v>
      </c>
      <c r="I327" s="599"/>
      <c r="J327" s="599">
        <v>0</v>
      </c>
      <c r="L327" s="596"/>
      <c r="M327" s="597"/>
      <c r="N327" s="596"/>
      <c r="O327" s="600"/>
      <c r="P327" s="600"/>
      <c r="Q327" s="601"/>
      <c r="R327" s="596"/>
    </row>
    <row r="328" spans="1:18" s="598" customFormat="1" ht="15">
      <c r="A328" s="594"/>
      <c r="B328" s="1494" t="s">
        <v>45</v>
      </c>
      <c r="H328" s="599">
        <v>35000000</v>
      </c>
      <c r="I328" s="599"/>
      <c r="J328" s="635">
        <v>35000000</v>
      </c>
      <c r="L328" s="596"/>
      <c r="M328" s="597"/>
      <c r="N328" s="596"/>
      <c r="O328" s="600"/>
      <c r="P328" s="600"/>
      <c r="Q328" s="601"/>
      <c r="R328" s="596"/>
    </row>
    <row r="329" spans="1:18" s="598" customFormat="1" ht="15">
      <c r="A329" s="594"/>
      <c r="B329" s="1494" t="s">
        <v>46</v>
      </c>
      <c r="H329" s="599">
        <v>0</v>
      </c>
      <c r="I329" s="599"/>
      <c r="J329" s="599">
        <v>0</v>
      </c>
      <c r="L329" s="596"/>
      <c r="M329" s="597"/>
      <c r="N329" s="596"/>
      <c r="O329" s="600"/>
      <c r="P329" s="600"/>
      <c r="Q329" s="601"/>
      <c r="R329" s="596"/>
    </row>
    <row r="330" spans="1:18" s="598" customFormat="1" ht="15">
      <c r="A330" s="594"/>
      <c r="B330" s="1494" t="s">
        <v>47</v>
      </c>
      <c r="H330" s="599">
        <v>0</v>
      </c>
      <c r="I330" s="599"/>
      <c r="J330" s="599">
        <v>0</v>
      </c>
      <c r="L330" s="596"/>
      <c r="M330" s="597"/>
      <c r="N330" s="596"/>
      <c r="O330" s="600"/>
      <c r="P330" s="600"/>
      <c r="Q330" s="601"/>
      <c r="R330" s="596"/>
    </row>
    <row r="331" spans="1:18" s="598" customFormat="1" ht="15">
      <c r="A331" s="594"/>
      <c r="B331" s="1494" t="s">
        <v>1638</v>
      </c>
      <c r="H331" s="599">
        <v>18859171</v>
      </c>
      <c r="I331" s="599"/>
      <c r="J331" s="635">
        <v>81706482</v>
      </c>
      <c r="L331" s="596"/>
      <c r="M331" s="597"/>
      <c r="N331" s="596"/>
      <c r="O331" s="600"/>
      <c r="P331" s="600"/>
      <c r="Q331" s="601"/>
      <c r="R331" s="596"/>
    </row>
    <row r="332" spans="1:18" s="598" customFormat="1" ht="15">
      <c r="A332" s="594"/>
      <c r="B332" s="1494" t="s">
        <v>48</v>
      </c>
      <c r="H332" s="599">
        <v>0</v>
      </c>
      <c r="I332" s="599"/>
      <c r="J332" s="599">
        <v>0</v>
      </c>
      <c r="L332" s="596"/>
      <c r="M332" s="597"/>
      <c r="N332" s="596"/>
      <c r="O332" s="600"/>
      <c r="P332" s="600"/>
      <c r="Q332" s="601"/>
      <c r="R332" s="596"/>
    </row>
    <row r="333" spans="1:18" s="598" customFormat="1" ht="15">
      <c r="A333" s="594"/>
      <c r="B333" s="1494" t="s">
        <v>49</v>
      </c>
      <c r="H333" s="599">
        <v>11627000</v>
      </c>
      <c r="I333" s="599"/>
      <c r="J333" s="635">
        <v>11627000</v>
      </c>
      <c r="L333" s="596"/>
      <c r="M333" s="597"/>
      <c r="N333" s="596"/>
      <c r="O333" s="600"/>
      <c r="P333" s="600"/>
      <c r="Q333" s="601"/>
      <c r="R333" s="596"/>
    </row>
    <row r="334" spans="1:18" s="598" customFormat="1" ht="15">
      <c r="A334" s="594"/>
      <c r="B334" s="1494" t="s">
        <v>50</v>
      </c>
      <c r="H334" s="599">
        <v>0</v>
      </c>
      <c r="I334" s="599"/>
      <c r="J334" s="599">
        <v>0</v>
      </c>
      <c r="L334" s="596"/>
      <c r="M334" s="597"/>
      <c r="N334" s="596"/>
      <c r="O334" s="600"/>
      <c r="P334" s="600"/>
      <c r="Q334" s="601"/>
      <c r="R334" s="596"/>
    </row>
    <row r="335" spans="1:18" s="598" customFormat="1" ht="15">
      <c r="A335" s="594"/>
      <c r="B335" s="1494" t="s">
        <v>51</v>
      </c>
      <c r="H335" s="599">
        <v>0</v>
      </c>
      <c r="I335" s="599"/>
      <c r="J335" s="635">
        <v>82500000</v>
      </c>
      <c r="L335" s="596"/>
      <c r="M335" s="597"/>
      <c r="N335" s="596"/>
      <c r="O335" s="600"/>
      <c r="P335" s="600"/>
      <c r="Q335" s="601"/>
      <c r="R335" s="596"/>
    </row>
    <row r="336" spans="1:18" s="598" customFormat="1" ht="15">
      <c r="A336" s="594"/>
      <c r="B336" s="1494" t="s">
        <v>52</v>
      </c>
      <c r="H336" s="599">
        <v>126000000</v>
      </c>
      <c r="I336" s="599"/>
      <c r="J336" s="635">
        <v>126000000</v>
      </c>
      <c r="L336" s="596"/>
      <c r="M336" s="597"/>
      <c r="N336" s="596"/>
      <c r="O336" s="600"/>
      <c r="P336" s="600"/>
      <c r="Q336" s="601"/>
      <c r="R336" s="596"/>
    </row>
    <row r="337" spans="1:18" s="598" customFormat="1" ht="15">
      <c r="A337" s="594"/>
      <c r="B337" s="1494" t="s">
        <v>53</v>
      </c>
      <c r="H337" s="599">
        <v>275000000</v>
      </c>
      <c r="I337" s="599"/>
      <c r="J337" s="635">
        <v>275000000</v>
      </c>
      <c r="L337" s="596"/>
      <c r="M337" s="597"/>
      <c r="N337" s="596"/>
      <c r="O337" s="600"/>
      <c r="P337" s="600"/>
      <c r="Q337" s="601"/>
      <c r="R337" s="596"/>
    </row>
    <row r="338" spans="1:18" s="598" customFormat="1" ht="15">
      <c r="A338" s="594"/>
      <c r="B338" s="1494" t="s">
        <v>1637</v>
      </c>
      <c r="H338" s="599">
        <v>380000000</v>
      </c>
      <c r="I338" s="599"/>
      <c r="J338" s="599">
        <v>0</v>
      </c>
      <c r="L338" s="596"/>
      <c r="M338" s="597"/>
      <c r="N338" s="596"/>
      <c r="O338" s="600"/>
      <c r="P338" s="600"/>
      <c r="Q338" s="601"/>
      <c r="R338" s="596"/>
    </row>
    <row r="339" spans="1:18" s="598" customFormat="1" ht="15">
      <c r="A339" s="594"/>
      <c r="B339" s="1494" t="s">
        <v>913</v>
      </c>
      <c r="H339" s="599">
        <v>49560686</v>
      </c>
      <c r="I339" s="599"/>
      <c r="J339" s="599">
        <v>49560686</v>
      </c>
      <c r="L339" s="596"/>
      <c r="M339" s="597"/>
      <c r="N339" s="596"/>
      <c r="O339" s="600"/>
      <c r="P339" s="600"/>
      <c r="Q339" s="601"/>
      <c r="R339" s="596"/>
    </row>
    <row r="340" spans="1:18" s="598" customFormat="1" ht="15">
      <c r="A340" s="594"/>
      <c r="B340" s="1494" t="s">
        <v>55</v>
      </c>
      <c r="H340" s="599">
        <v>10149000</v>
      </c>
      <c r="I340" s="599"/>
      <c r="J340" s="635">
        <v>10149000</v>
      </c>
      <c r="L340" s="596"/>
      <c r="M340" s="597"/>
      <c r="N340" s="596"/>
      <c r="O340" s="600"/>
      <c r="P340" s="600"/>
      <c r="Q340" s="601"/>
      <c r="R340" s="596"/>
    </row>
    <row r="341" spans="1:18" s="598" customFormat="1" ht="15" hidden="1">
      <c r="A341" s="594"/>
      <c r="B341" s="1494" t="s">
        <v>56</v>
      </c>
      <c r="H341" s="599"/>
      <c r="I341" s="599"/>
      <c r="J341" s="599"/>
      <c r="L341" s="596"/>
      <c r="M341" s="597"/>
      <c r="N341" s="596"/>
      <c r="O341" s="600"/>
      <c r="P341" s="600"/>
      <c r="Q341" s="601"/>
      <c r="R341" s="596"/>
    </row>
    <row r="342" spans="1:18" s="598" customFormat="1" ht="15">
      <c r="A342" s="594"/>
      <c r="B342" s="1494" t="s">
        <v>57</v>
      </c>
      <c r="H342" s="599">
        <v>50071047</v>
      </c>
      <c r="I342" s="599"/>
      <c r="J342" s="635">
        <v>50071047</v>
      </c>
      <c r="L342" s="596"/>
      <c r="M342" s="597"/>
      <c r="N342" s="596"/>
      <c r="O342" s="600"/>
      <c r="P342" s="600"/>
      <c r="Q342" s="601"/>
      <c r="R342" s="596"/>
    </row>
    <row r="343" spans="1:18" s="598" customFormat="1" ht="15">
      <c r="A343" s="594"/>
      <c r="B343" s="1494" t="s">
        <v>58</v>
      </c>
      <c r="H343" s="599">
        <v>1096073500</v>
      </c>
      <c r="I343" s="599"/>
      <c r="J343" s="635">
        <v>360324400</v>
      </c>
      <c r="L343" s="596"/>
      <c r="M343" s="597"/>
      <c r="N343" s="596"/>
      <c r="O343" s="600"/>
      <c r="P343" s="600"/>
      <c r="Q343" s="601"/>
      <c r="R343" s="596"/>
    </row>
    <row r="344" spans="1:18" s="598" customFormat="1" ht="15">
      <c r="A344" s="594"/>
      <c r="B344" s="1494" t="s">
        <v>820</v>
      </c>
      <c r="H344" s="599">
        <v>0</v>
      </c>
      <c r="I344" s="599"/>
      <c r="J344" s="599">
        <v>22790148</v>
      </c>
      <c r="L344" s="596"/>
      <c r="M344" s="597"/>
      <c r="N344" s="596"/>
      <c r="O344" s="600"/>
      <c r="P344" s="600"/>
      <c r="Q344" s="601"/>
      <c r="R344" s="596"/>
    </row>
    <row r="345" spans="1:18" s="598" customFormat="1" ht="15">
      <c r="A345" s="594"/>
      <c r="B345" s="1494" t="s">
        <v>147</v>
      </c>
      <c r="H345" s="599">
        <v>0</v>
      </c>
      <c r="I345" s="599"/>
      <c r="J345" s="599">
        <v>510860852</v>
      </c>
      <c r="L345" s="596"/>
      <c r="M345" s="597"/>
      <c r="N345" s="596"/>
      <c r="O345" s="600"/>
      <c r="P345" s="600"/>
      <c r="Q345" s="601"/>
      <c r="R345" s="596"/>
    </row>
    <row r="346" spans="1:18" s="598" customFormat="1" ht="15">
      <c r="A346" s="594"/>
      <c r="B346" s="1494" t="s">
        <v>146</v>
      </c>
      <c r="H346" s="599">
        <v>0</v>
      </c>
      <c r="I346" s="599"/>
      <c r="J346" s="599">
        <v>58740000</v>
      </c>
      <c r="L346" s="596"/>
      <c r="M346" s="597"/>
      <c r="N346" s="596"/>
      <c r="O346" s="600"/>
      <c r="P346" s="600"/>
      <c r="Q346" s="601"/>
      <c r="R346" s="596"/>
    </row>
    <row r="347" spans="1:18" s="598" customFormat="1" ht="15">
      <c r="A347" s="594"/>
      <c r="B347" s="1494" t="s">
        <v>59</v>
      </c>
      <c r="H347" s="599">
        <v>0</v>
      </c>
      <c r="I347" s="599"/>
      <c r="J347" s="635">
        <v>200000000</v>
      </c>
      <c r="L347" s="596"/>
      <c r="M347" s="597"/>
      <c r="N347" s="596"/>
      <c r="O347" s="600"/>
      <c r="P347" s="600"/>
      <c r="Q347" s="601"/>
      <c r="R347" s="596"/>
    </row>
    <row r="348" spans="1:18" s="598" customFormat="1" ht="15">
      <c r="A348" s="594"/>
      <c r="B348" s="1494" t="s">
        <v>19</v>
      </c>
      <c r="H348" s="599">
        <v>25500000000</v>
      </c>
      <c r="I348" s="599"/>
      <c r="J348" s="635">
        <v>25500000000</v>
      </c>
      <c r="L348" s="596"/>
      <c r="M348" s="597"/>
      <c r="N348" s="596"/>
      <c r="O348" s="600"/>
      <c r="P348" s="600"/>
      <c r="Q348" s="601"/>
      <c r="R348" s="596"/>
    </row>
    <row r="349" spans="1:18" s="598" customFormat="1" ht="15" hidden="1">
      <c r="A349" s="594"/>
      <c r="B349" s="1494" t="s">
        <v>1015</v>
      </c>
      <c r="H349" s="599"/>
      <c r="I349" s="599"/>
      <c r="J349" s="599"/>
      <c r="L349" s="596"/>
      <c r="M349" s="597"/>
      <c r="N349" s="596"/>
      <c r="O349" s="600"/>
      <c r="P349" s="600"/>
      <c r="Q349" s="601"/>
      <c r="R349" s="596"/>
    </row>
    <row r="350" spans="1:18" s="598" customFormat="1" ht="15">
      <c r="A350" s="594"/>
      <c r="B350" s="1494" t="s">
        <v>145</v>
      </c>
      <c r="H350" s="599">
        <v>0</v>
      </c>
      <c r="I350" s="599"/>
      <c r="J350" s="599">
        <v>92000000</v>
      </c>
      <c r="L350" s="596"/>
      <c r="M350" s="597"/>
      <c r="N350" s="596"/>
      <c r="O350" s="600"/>
      <c r="P350" s="600"/>
      <c r="Q350" s="601"/>
      <c r="R350" s="596"/>
    </row>
    <row r="351" spans="1:18" s="598" customFormat="1" ht="15">
      <c r="A351" s="594"/>
      <c r="B351" s="1494" t="s">
        <v>1632</v>
      </c>
      <c r="H351" s="599">
        <v>115520670</v>
      </c>
      <c r="I351" s="599"/>
      <c r="J351" s="599">
        <v>0</v>
      </c>
      <c r="L351" s="596"/>
      <c r="M351" s="597"/>
      <c r="N351" s="596"/>
      <c r="O351" s="600"/>
      <c r="P351" s="600"/>
      <c r="Q351" s="601"/>
      <c r="R351" s="596"/>
    </row>
    <row r="352" spans="1:18" s="598" customFormat="1" ht="15">
      <c r="A352" s="594"/>
      <c r="B352" s="1494" t="s">
        <v>61</v>
      </c>
      <c r="H352" s="599">
        <v>532102496</v>
      </c>
      <c r="I352" s="599"/>
      <c r="J352" s="635">
        <v>532102496</v>
      </c>
      <c r="L352" s="596"/>
      <c r="M352" s="597"/>
      <c r="N352" s="596"/>
      <c r="O352" s="600"/>
      <c r="P352" s="600"/>
      <c r="Q352" s="601"/>
      <c r="R352" s="596"/>
    </row>
    <row r="353" spans="1:18" s="598" customFormat="1" ht="15">
      <c r="A353" s="594"/>
      <c r="B353" s="1494" t="s">
        <v>1639</v>
      </c>
      <c r="H353" s="599">
        <v>100000000</v>
      </c>
      <c r="I353" s="599"/>
      <c r="J353" s="599">
        <v>0</v>
      </c>
      <c r="L353" s="596"/>
      <c r="M353" s="597"/>
      <c r="N353" s="596"/>
      <c r="O353" s="600"/>
      <c r="P353" s="600"/>
      <c r="Q353" s="601"/>
      <c r="R353" s="596"/>
    </row>
    <row r="354" spans="1:18" s="598" customFormat="1" ht="15" hidden="1">
      <c r="A354" s="594"/>
      <c r="B354" s="1494" t="s">
        <v>63</v>
      </c>
      <c r="H354" s="599"/>
      <c r="I354" s="599"/>
      <c r="J354" s="599"/>
      <c r="L354" s="596"/>
      <c r="M354" s="597"/>
      <c r="N354" s="596"/>
      <c r="O354" s="600"/>
      <c r="P354" s="600"/>
      <c r="Q354" s="601"/>
      <c r="R354" s="596"/>
    </row>
    <row r="355" spans="1:18" s="598" customFormat="1" ht="15">
      <c r="A355" s="594"/>
      <c r="B355" s="1494" t="s">
        <v>64</v>
      </c>
      <c r="H355" s="599">
        <v>0</v>
      </c>
      <c r="I355" s="599"/>
      <c r="J355" s="635">
        <v>2150000000</v>
      </c>
      <c r="L355" s="596"/>
      <c r="M355" s="597"/>
      <c r="N355" s="596"/>
      <c r="O355" s="600"/>
      <c r="P355" s="600"/>
      <c r="Q355" s="601"/>
      <c r="R355" s="596"/>
    </row>
    <row r="356" spans="1:18" s="598" customFormat="1" ht="15">
      <c r="A356" s="594"/>
      <c r="B356" s="1494" t="s">
        <v>151</v>
      </c>
      <c r="H356" s="599">
        <v>0</v>
      </c>
      <c r="I356" s="599"/>
      <c r="J356" s="599">
        <v>116798000</v>
      </c>
      <c r="L356" s="596"/>
      <c r="M356" s="597"/>
      <c r="N356" s="596"/>
      <c r="O356" s="600"/>
      <c r="P356" s="600"/>
      <c r="Q356" s="601"/>
      <c r="R356" s="596"/>
    </row>
    <row r="357" spans="1:18" s="598" customFormat="1" ht="15">
      <c r="A357" s="594"/>
      <c r="B357" s="1494" t="s">
        <v>152</v>
      </c>
      <c r="H357" s="599">
        <v>0</v>
      </c>
      <c r="I357" s="599"/>
      <c r="J357" s="599">
        <v>224400000</v>
      </c>
      <c r="L357" s="596"/>
      <c r="M357" s="597"/>
      <c r="N357" s="596"/>
      <c r="O357" s="600"/>
      <c r="P357" s="600"/>
      <c r="Q357" s="601"/>
      <c r="R357" s="596"/>
    </row>
    <row r="358" spans="1:18" s="598" customFormat="1" ht="15">
      <c r="A358" s="594"/>
      <c r="B358" s="1494" t="s">
        <v>65</v>
      </c>
      <c r="H358" s="599">
        <v>47818560</v>
      </c>
      <c r="I358" s="599"/>
      <c r="J358" s="635">
        <v>47818560</v>
      </c>
      <c r="L358" s="596"/>
      <c r="M358" s="597"/>
      <c r="N358" s="596"/>
      <c r="O358" s="600"/>
      <c r="P358" s="600"/>
      <c r="Q358" s="601"/>
      <c r="R358" s="596"/>
    </row>
    <row r="359" spans="1:18" s="598" customFormat="1" ht="15" hidden="1">
      <c r="A359" s="594"/>
      <c r="B359" s="1494" t="s">
        <v>66</v>
      </c>
      <c r="H359" s="599"/>
      <c r="I359" s="599"/>
      <c r="J359" s="599"/>
      <c r="L359" s="596"/>
      <c r="M359" s="597"/>
      <c r="N359" s="596"/>
      <c r="O359" s="600"/>
      <c r="P359" s="600"/>
      <c r="Q359" s="601"/>
      <c r="R359" s="596"/>
    </row>
    <row r="360" spans="1:18" s="598" customFormat="1" ht="15">
      <c r="A360" s="594"/>
      <c r="B360" s="1494" t="s">
        <v>67</v>
      </c>
      <c r="H360" s="599">
        <v>99999000</v>
      </c>
      <c r="I360" s="599"/>
      <c r="J360" s="599">
        <v>0</v>
      </c>
      <c r="L360" s="596"/>
      <c r="M360" s="597"/>
      <c r="N360" s="596"/>
      <c r="O360" s="600"/>
      <c r="P360" s="600"/>
      <c r="Q360" s="601"/>
      <c r="R360" s="596"/>
    </row>
    <row r="361" spans="1:18" s="598" customFormat="1" ht="15" hidden="1">
      <c r="A361" s="594"/>
      <c r="B361" s="1494" t="s">
        <v>68</v>
      </c>
      <c r="H361" s="599"/>
      <c r="I361" s="599"/>
      <c r="J361" s="599"/>
      <c r="L361" s="596"/>
      <c r="M361" s="597"/>
      <c r="N361" s="596"/>
      <c r="O361" s="600"/>
      <c r="P361" s="600"/>
      <c r="Q361" s="601"/>
      <c r="R361" s="596"/>
    </row>
    <row r="362" spans="1:18" s="598" customFormat="1" ht="15">
      <c r="A362" s="594"/>
      <c r="B362" s="1494" t="s">
        <v>150</v>
      </c>
      <c r="H362" s="599">
        <v>0</v>
      </c>
      <c r="I362" s="599"/>
      <c r="J362" s="599">
        <v>35000000</v>
      </c>
      <c r="L362" s="596"/>
      <c r="M362" s="597"/>
      <c r="N362" s="596"/>
      <c r="O362" s="600"/>
      <c r="P362" s="600"/>
      <c r="Q362" s="601"/>
      <c r="R362" s="596"/>
    </row>
    <row r="363" spans="1:18" s="598" customFormat="1" ht="15">
      <c r="A363" s="594"/>
      <c r="B363" s="1494" t="s">
        <v>1589</v>
      </c>
      <c r="H363" s="599">
        <v>300000000</v>
      </c>
      <c r="I363" s="599"/>
      <c r="J363" s="599">
        <v>0</v>
      </c>
      <c r="L363" s="596"/>
      <c r="M363" s="597"/>
      <c r="N363" s="596"/>
      <c r="O363" s="600"/>
      <c r="P363" s="600"/>
      <c r="Q363" s="601"/>
      <c r="R363" s="596"/>
    </row>
    <row r="364" spans="1:18" s="598" customFormat="1" ht="15">
      <c r="A364" s="594"/>
      <c r="B364" s="1494" t="s">
        <v>1631</v>
      </c>
      <c r="H364" s="599">
        <v>50000000</v>
      </c>
      <c r="I364" s="599"/>
      <c r="J364" s="599">
        <v>0</v>
      </c>
      <c r="L364" s="596"/>
      <c r="M364" s="597"/>
      <c r="N364" s="596"/>
      <c r="O364" s="600"/>
      <c r="P364" s="600"/>
      <c r="Q364" s="601"/>
      <c r="R364" s="596"/>
    </row>
    <row r="365" spans="1:18" s="598" customFormat="1" ht="15">
      <c r="A365" s="594"/>
      <c r="B365" s="1494" t="s">
        <v>1633</v>
      </c>
      <c r="H365" s="599">
        <v>58129500</v>
      </c>
      <c r="I365" s="599"/>
      <c r="J365" s="599">
        <v>0</v>
      </c>
      <c r="L365" s="596"/>
      <c r="M365" s="597"/>
      <c r="N365" s="596"/>
      <c r="O365" s="600"/>
      <c r="P365" s="600"/>
      <c r="Q365" s="601"/>
      <c r="R365" s="596"/>
    </row>
    <row r="366" spans="1:18" s="598" customFormat="1" ht="15">
      <c r="A366" s="594"/>
      <c r="B366" s="1494" t="s">
        <v>811</v>
      </c>
      <c r="H366" s="599">
        <v>0</v>
      </c>
      <c r="I366" s="599"/>
      <c r="J366" s="599">
        <v>106349997</v>
      </c>
      <c r="L366" s="596"/>
      <c r="M366" s="597"/>
      <c r="N366" s="596"/>
      <c r="O366" s="600"/>
      <c r="P366" s="600"/>
      <c r="Q366" s="601"/>
      <c r="R366" s="596"/>
    </row>
    <row r="367" spans="1:18" s="598" customFormat="1" ht="15">
      <c r="A367" s="594"/>
      <c r="B367" s="1494" t="s">
        <v>144</v>
      </c>
      <c r="H367" s="599">
        <v>0</v>
      </c>
      <c r="I367" s="599"/>
      <c r="J367" s="599">
        <v>100000000</v>
      </c>
      <c r="L367" s="596"/>
      <c r="M367" s="597"/>
      <c r="N367" s="596"/>
      <c r="O367" s="600"/>
      <c r="P367" s="600"/>
      <c r="Q367" s="601"/>
      <c r="R367" s="596"/>
    </row>
    <row r="368" spans="1:18" s="598" customFormat="1" ht="15">
      <c r="A368" s="594"/>
      <c r="B368" s="1494" t="s">
        <v>72</v>
      </c>
      <c r="H368" s="599">
        <v>106618710</v>
      </c>
      <c r="I368" s="599"/>
      <c r="J368" s="635">
        <v>126618710</v>
      </c>
      <c r="L368" s="596"/>
      <c r="M368" s="597"/>
      <c r="N368" s="596"/>
      <c r="O368" s="600"/>
      <c r="P368" s="600"/>
      <c r="Q368" s="601"/>
      <c r="R368" s="596"/>
    </row>
    <row r="369" spans="1:18" s="598" customFormat="1" ht="15">
      <c r="A369" s="594"/>
      <c r="B369" s="1494" t="s">
        <v>143</v>
      </c>
      <c r="H369" s="599">
        <v>0</v>
      </c>
      <c r="I369" s="599"/>
      <c r="J369" s="599">
        <v>269500000</v>
      </c>
      <c r="L369" s="596"/>
      <c r="M369" s="597"/>
      <c r="N369" s="596"/>
      <c r="O369" s="600"/>
      <c r="P369" s="600"/>
      <c r="Q369" s="601"/>
      <c r="R369" s="596"/>
    </row>
    <row r="370" spans="1:18" s="598" customFormat="1" ht="15">
      <c r="A370" s="594"/>
      <c r="B370" s="1494" t="s">
        <v>73</v>
      </c>
      <c r="H370" s="599">
        <v>30000000</v>
      </c>
      <c r="I370" s="599"/>
      <c r="J370" s="635">
        <v>30000000</v>
      </c>
      <c r="L370" s="596"/>
      <c r="M370" s="597"/>
      <c r="N370" s="596"/>
      <c r="O370" s="600"/>
      <c r="P370" s="600"/>
      <c r="Q370" s="601"/>
      <c r="R370" s="596"/>
    </row>
    <row r="371" spans="1:18" s="598" customFormat="1" ht="15">
      <c r="A371" s="594"/>
      <c r="B371" s="1494" t="s">
        <v>142</v>
      </c>
      <c r="H371" s="599">
        <v>0</v>
      </c>
      <c r="I371" s="599"/>
      <c r="J371" s="599">
        <v>313000000</v>
      </c>
      <c r="L371" s="596"/>
      <c r="M371" s="597"/>
      <c r="N371" s="596"/>
      <c r="O371" s="600"/>
      <c r="P371" s="600"/>
      <c r="Q371" s="601"/>
      <c r="R371" s="596"/>
    </row>
    <row r="372" spans="1:18" s="598" customFormat="1" ht="15">
      <c r="A372" s="594"/>
      <c r="B372" s="1494" t="s">
        <v>141</v>
      </c>
      <c r="H372" s="599">
        <v>0</v>
      </c>
      <c r="I372" s="599"/>
      <c r="J372" s="599">
        <v>879517500</v>
      </c>
      <c r="L372" s="596"/>
      <c r="M372" s="597"/>
      <c r="N372" s="596"/>
      <c r="O372" s="600"/>
      <c r="P372" s="600"/>
      <c r="Q372" s="601"/>
      <c r="R372" s="596"/>
    </row>
    <row r="373" spans="1:18" s="598" customFormat="1" ht="15">
      <c r="A373" s="594"/>
      <c r="B373" s="1494" t="s">
        <v>1634</v>
      </c>
      <c r="H373" s="599">
        <v>240000000</v>
      </c>
      <c r="I373" s="599"/>
      <c r="J373" s="599">
        <v>0</v>
      </c>
      <c r="L373" s="596"/>
      <c r="M373" s="597"/>
      <c r="N373" s="596"/>
      <c r="O373" s="600"/>
      <c r="P373" s="600"/>
      <c r="Q373" s="601"/>
      <c r="R373" s="596"/>
    </row>
    <row r="374" spans="1:18" s="598" customFormat="1" ht="15">
      <c r="A374" s="594"/>
      <c r="B374" s="1494" t="s">
        <v>68</v>
      </c>
      <c r="H374" s="599">
        <v>0</v>
      </c>
      <c r="I374" s="599"/>
      <c r="J374" s="635">
        <v>63008759</v>
      </c>
      <c r="L374" s="596"/>
      <c r="M374" s="597"/>
      <c r="N374" s="596"/>
      <c r="O374" s="600"/>
      <c r="P374" s="600"/>
      <c r="Q374" s="601"/>
      <c r="R374" s="596"/>
    </row>
    <row r="375" spans="1:18" s="598" customFormat="1" ht="15">
      <c r="A375" s="594"/>
      <c r="B375" s="1494" t="s">
        <v>1054</v>
      </c>
      <c r="H375" s="599">
        <v>0</v>
      </c>
      <c r="I375" s="599"/>
      <c r="J375" s="635">
        <v>300000000</v>
      </c>
      <c r="L375" s="596"/>
      <c r="M375" s="597"/>
      <c r="N375" s="596"/>
      <c r="O375" s="600"/>
      <c r="P375" s="600"/>
      <c r="Q375" s="601"/>
      <c r="R375" s="596"/>
    </row>
    <row r="376" spans="1:18" s="598" customFormat="1" ht="15">
      <c r="A376" s="594"/>
      <c r="B376" s="1495" t="s">
        <v>149</v>
      </c>
      <c r="H376" s="599">
        <v>0</v>
      </c>
      <c r="I376" s="599"/>
      <c r="J376" s="599">
        <v>60000000</v>
      </c>
      <c r="L376" s="596"/>
      <c r="M376" s="597"/>
      <c r="N376" s="596"/>
      <c r="O376" s="600"/>
      <c r="P376" s="600"/>
      <c r="Q376" s="601"/>
      <c r="R376" s="596"/>
    </row>
    <row r="377" spans="1:18" s="598" customFormat="1" ht="15">
      <c r="A377" s="594"/>
      <c r="B377" s="1495" t="s">
        <v>75</v>
      </c>
      <c r="H377" s="599"/>
      <c r="I377" s="599"/>
      <c r="J377" s="635">
        <v>802503398</v>
      </c>
      <c r="L377" s="596"/>
      <c r="M377" s="597"/>
      <c r="N377" s="596"/>
      <c r="O377" s="600"/>
      <c r="P377" s="600"/>
      <c r="Q377" s="601"/>
      <c r="R377" s="596"/>
    </row>
    <row r="378" spans="1:18" s="598" customFormat="1" ht="15">
      <c r="A378" s="594"/>
      <c r="B378" s="1495" t="s">
        <v>1630</v>
      </c>
      <c r="H378" s="599">
        <v>18173093</v>
      </c>
      <c r="I378" s="599"/>
      <c r="J378" s="635">
        <v>18173093</v>
      </c>
      <c r="L378" s="596"/>
      <c r="M378" s="597"/>
      <c r="N378" s="596"/>
      <c r="O378" s="600"/>
      <c r="P378" s="600"/>
      <c r="Q378" s="601"/>
      <c r="R378" s="596"/>
    </row>
    <row r="379" spans="1:18" s="598" customFormat="1" ht="15">
      <c r="A379" s="594"/>
      <c r="B379" s="1495" t="s">
        <v>76</v>
      </c>
      <c r="H379" s="599">
        <v>558716500</v>
      </c>
      <c r="I379" s="599"/>
      <c r="J379" s="635">
        <v>100000000</v>
      </c>
      <c r="L379" s="596"/>
      <c r="M379" s="597"/>
      <c r="N379" s="596"/>
      <c r="O379" s="600"/>
      <c r="P379" s="600"/>
      <c r="Q379" s="601"/>
      <c r="R379" s="596"/>
    </row>
    <row r="380" spans="1:18" s="598" customFormat="1" ht="15">
      <c r="A380" s="594"/>
      <c r="B380" s="1495" t="s">
        <v>140</v>
      </c>
      <c r="H380" s="599">
        <v>0</v>
      </c>
      <c r="I380" s="599"/>
      <c r="J380" s="599">
        <v>106571108</v>
      </c>
      <c r="L380" s="596"/>
      <c r="M380" s="597"/>
      <c r="N380" s="596"/>
      <c r="O380" s="600"/>
      <c r="P380" s="600"/>
      <c r="Q380" s="601"/>
      <c r="R380" s="596"/>
    </row>
    <row r="381" spans="1:18" s="598" customFormat="1" ht="15">
      <c r="A381" s="594"/>
      <c r="B381" s="1495" t="s">
        <v>837</v>
      </c>
      <c r="H381" s="599">
        <v>0</v>
      </c>
      <c r="I381" s="599"/>
      <c r="J381" s="635">
        <v>657012798</v>
      </c>
      <c r="L381" s="596"/>
      <c r="M381" s="597"/>
      <c r="N381" s="596"/>
      <c r="O381" s="600"/>
      <c r="P381" s="600"/>
      <c r="Q381" s="601"/>
      <c r="R381" s="596"/>
    </row>
    <row r="382" spans="1:18" s="598" customFormat="1" ht="15">
      <c r="A382" s="594"/>
      <c r="B382" s="1495" t="s">
        <v>139</v>
      </c>
      <c r="H382" s="599">
        <v>0</v>
      </c>
      <c r="I382" s="599"/>
      <c r="J382" s="599">
        <v>300000000</v>
      </c>
      <c r="L382" s="596"/>
      <c r="M382" s="597"/>
      <c r="N382" s="596"/>
      <c r="O382" s="600"/>
      <c r="P382" s="600"/>
      <c r="Q382" s="601"/>
      <c r="R382" s="596"/>
    </row>
    <row r="383" spans="1:18" s="598" customFormat="1" ht="15">
      <c r="A383" s="594"/>
      <c r="B383" s="1495" t="s">
        <v>77</v>
      </c>
      <c r="H383" s="599">
        <v>72495300</v>
      </c>
      <c r="I383" s="599"/>
      <c r="J383" s="635">
        <v>72495300</v>
      </c>
      <c r="L383" s="596"/>
      <c r="M383" s="597"/>
      <c r="N383" s="596"/>
      <c r="O383" s="600"/>
      <c r="P383" s="600"/>
      <c r="Q383" s="601"/>
      <c r="R383" s="596"/>
    </row>
    <row r="384" spans="1:18" s="598" customFormat="1" ht="15">
      <c r="A384" s="594"/>
      <c r="B384" s="1495" t="s">
        <v>137</v>
      </c>
      <c r="H384" s="599">
        <v>0</v>
      </c>
      <c r="I384" s="599"/>
      <c r="J384" s="635">
        <v>35838000</v>
      </c>
      <c r="L384" s="596"/>
      <c r="M384" s="597"/>
      <c r="N384" s="596"/>
      <c r="O384" s="600"/>
      <c r="P384" s="600"/>
      <c r="Q384" s="601"/>
      <c r="R384" s="596"/>
    </row>
    <row r="385" spans="1:18" s="598" customFormat="1" ht="15">
      <c r="A385" s="594"/>
      <c r="B385" s="1495" t="s">
        <v>138</v>
      </c>
      <c r="H385" s="599">
        <v>0</v>
      </c>
      <c r="I385" s="599"/>
      <c r="J385" s="599">
        <v>190000000</v>
      </c>
      <c r="L385" s="596"/>
      <c r="M385" s="597"/>
      <c r="N385" s="596"/>
      <c r="O385" s="600"/>
      <c r="P385" s="600"/>
      <c r="Q385" s="601"/>
      <c r="R385" s="596"/>
    </row>
    <row r="386" spans="1:18" s="598" customFormat="1" ht="15">
      <c r="A386" s="594"/>
      <c r="B386" s="604"/>
      <c r="H386" s="599"/>
      <c r="I386" s="599"/>
      <c r="J386" s="599"/>
      <c r="L386" s="596"/>
      <c r="M386" s="597"/>
      <c r="N386" s="596"/>
      <c r="O386" s="600"/>
      <c r="P386" s="600"/>
      <c r="Q386" s="601"/>
      <c r="R386" s="596"/>
    </row>
    <row r="387" spans="1:18" s="684" customFormat="1" ht="15">
      <c r="A387" s="631"/>
      <c r="B387" s="1491" t="s">
        <v>1012</v>
      </c>
      <c r="H387" s="1398">
        <f>SUM(H388:H390)</f>
        <v>1323800000</v>
      </c>
      <c r="I387" s="1325"/>
      <c r="J387" s="1398">
        <f>SUM(J388:J390)</f>
        <v>1314800000</v>
      </c>
      <c r="L387" s="626"/>
      <c r="M387" s="632"/>
      <c r="N387" s="626"/>
      <c r="O387" s="642"/>
      <c r="P387" s="642"/>
      <c r="Q387" s="645"/>
      <c r="R387" s="626"/>
    </row>
    <row r="388" spans="1:18" s="684" customFormat="1" ht="15">
      <c r="A388" s="631"/>
      <c r="B388" s="1507" t="s">
        <v>1627</v>
      </c>
      <c r="C388" s="1508"/>
      <c r="D388" s="1508"/>
      <c r="E388" s="1508"/>
      <c r="F388" s="1508"/>
      <c r="G388" s="1508"/>
      <c r="H388" s="1283">
        <v>23800000</v>
      </c>
      <c r="I388" s="1325"/>
      <c r="J388" s="1283">
        <v>14800000</v>
      </c>
      <c r="L388" s="626"/>
      <c r="M388" s="632"/>
      <c r="N388" s="626"/>
      <c r="O388" s="642"/>
      <c r="P388" s="642"/>
      <c r="Q388" s="645"/>
      <c r="R388" s="626"/>
    </row>
    <row r="389" spans="1:18" s="684" customFormat="1" ht="15">
      <c r="A389" s="631"/>
      <c r="B389" s="1510" t="s">
        <v>1628</v>
      </c>
      <c r="C389" s="1508"/>
      <c r="D389" s="1508"/>
      <c r="E389" s="1508"/>
      <c r="F389" s="1508"/>
      <c r="G389" s="1508"/>
      <c r="H389" s="1283">
        <v>100000000</v>
      </c>
      <c r="I389" s="1325"/>
      <c r="J389" s="1283">
        <v>100000000</v>
      </c>
      <c r="L389" s="626"/>
      <c r="M389" s="632"/>
      <c r="N389" s="626"/>
      <c r="O389" s="642"/>
      <c r="P389" s="642"/>
      <c r="Q389" s="645"/>
      <c r="R389" s="626"/>
    </row>
    <row r="390" spans="1:18" s="684" customFormat="1" ht="15">
      <c r="A390" s="631"/>
      <c r="B390" s="1510" t="s">
        <v>1629</v>
      </c>
      <c r="C390" s="1508"/>
      <c r="D390" s="1508"/>
      <c r="E390" s="1508"/>
      <c r="F390" s="1508"/>
      <c r="G390" s="1508"/>
      <c r="H390" s="1283">
        <v>1200000000</v>
      </c>
      <c r="I390" s="1325"/>
      <c r="J390" s="1283">
        <v>1200000000</v>
      </c>
      <c r="L390" s="626"/>
      <c r="M390" s="632"/>
      <c r="N390" s="626"/>
      <c r="O390" s="642"/>
      <c r="P390" s="642"/>
      <c r="Q390" s="645"/>
      <c r="R390" s="626"/>
    </row>
    <row r="391" spans="1:18" s="598" customFormat="1" ht="15">
      <c r="A391" s="594"/>
      <c r="B391" s="1522"/>
      <c r="C391" s="1511"/>
      <c r="D391" s="1511"/>
      <c r="E391" s="1511"/>
      <c r="F391" s="1511"/>
      <c r="G391" s="1511"/>
      <c r="H391" s="1512"/>
      <c r="I391" s="1509"/>
      <c r="J391" s="1512"/>
      <c r="L391" s="596"/>
      <c r="M391" s="597"/>
      <c r="N391" s="596"/>
      <c r="O391" s="600"/>
      <c r="P391" s="600"/>
      <c r="Q391" s="601"/>
      <c r="R391" s="596"/>
    </row>
    <row r="392" spans="1:18" s="598" customFormat="1" ht="15">
      <c r="A392" s="594" t="s">
        <v>78</v>
      </c>
      <c r="B392" s="604" t="s">
        <v>79</v>
      </c>
      <c r="H392" s="595">
        <f>H393+H425</f>
        <v>4323558975</v>
      </c>
      <c r="I392" s="599"/>
      <c r="J392" s="595">
        <f>J393+J425</f>
        <v>4379744911</v>
      </c>
      <c r="L392" s="596">
        <f>H392-BS!L24</f>
        <v>0</v>
      </c>
      <c r="M392" s="597"/>
      <c r="N392" s="596">
        <f>J392-BS!N24</f>
        <v>0</v>
      </c>
      <c r="O392" s="600"/>
      <c r="P392" s="600"/>
      <c r="Q392" s="601"/>
      <c r="R392" s="596"/>
    </row>
    <row r="393" spans="1:18" s="598" customFormat="1" ht="15">
      <c r="A393" s="594"/>
      <c r="B393" s="1491" t="s">
        <v>294</v>
      </c>
      <c r="C393" s="1253"/>
      <c r="D393" s="1253"/>
      <c r="E393" s="1253"/>
      <c r="F393" s="1253"/>
      <c r="H393" s="1283">
        <f>SUM(H394:H423)</f>
        <v>4316495906</v>
      </c>
      <c r="I393" s="1283">
        <f>SUM(I394:I423)</f>
        <v>0</v>
      </c>
      <c r="J393" s="1283">
        <f>SUM(J394:J423)</f>
        <v>4372681842</v>
      </c>
      <c r="L393" s="596"/>
      <c r="M393" s="597"/>
      <c r="N393" s="596"/>
      <c r="O393" s="600"/>
      <c r="P393" s="600"/>
      <c r="Q393" s="601"/>
      <c r="R393" s="596"/>
    </row>
    <row r="394" spans="1:18" s="598" customFormat="1" ht="15">
      <c r="A394" s="594"/>
      <c r="B394" s="1507" t="s">
        <v>1640</v>
      </c>
      <c r="C394" s="1513"/>
      <c r="D394" s="1513"/>
      <c r="E394" s="1513"/>
      <c r="F394" s="1513"/>
      <c r="G394" s="1511"/>
      <c r="H394" s="1283">
        <v>600834403</v>
      </c>
      <c r="I394" s="1283"/>
      <c r="J394" s="1283">
        <v>600834403</v>
      </c>
      <c r="L394" s="596"/>
      <c r="M394" s="597"/>
      <c r="N394" s="596"/>
      <c r="O394" s="600"/>
      <c r="P394" s="600"/>
      <c r="Q394" s="601"/>
      <c r="R394" s="596"/>
    </row>
    <row r="395" spans="1:18" s="598" customFormat="1" ht="15">
      <c r="A395" s="594"/>
      <c r="B395" s="1507" t="s">
        <v>835</v>
      </c>
      <c r="C395" s="1513"/>
      <c r="D395" s="1513"/>
      <c r="E395" s="1513"/>
      <c r="F395" s="1513"/>
      <c r="G395" s="1511"/>
      <c r="H395" s="1283">
        <v>0</v>
      </c>
      <c r="I395" s="1283"/>
      <c r="J395" s="1283">
        <v>44204794</v>
      </c>
      <c r="L395" s="596"/>
      <c r="M395" s="597"/>
      <c r="N395" s="596"/>
      <c r="O395" s="600"/>
      <c r="P395" s="600"/>
      <c r="Q395" s="601"/>
      <c r="R395" s="596"/>
    </row>
    <row r="396" spans="1:18" s="598" customFormat="1" ht="15">
      <c r="A396" s="594"/>
      <c r="B396" s="1510" t="s">
        <v>1641</v>
      </c>
      <c r="C396" s="1513"/>
      <c r="D396" s="1513"/>
      <c r="E396" s="1513"/>
      <c r="F396" s="1513"/>
      <c r="G396" s="1511"/>
      <c r="H396" s="1283">
        <v>1025166197</v>
      </c>
      <c r="I396" s="1283"/>
      <c r="J396" s="1283">
        <v>1025166197</v>
      </c>
      <c r="L396" s="596"/>
      <c r="M396" s="597"/>
      <c r="N396" s="596"/>
      <c r="O396" s="600"/>
      <c r="P396" s="600"/>
      <c r="Q396" s="601"/>
      <c r="R396" s="596"/>
    </row>
    <row r="397" spans="1:18" s="598" customFormat="1" ht="15">
      <c r="A397" s="594"/>
      <c r="B397" s="1507" t="s">
        <v>1642</v>
      </c>
      <c r="C397" s="1513"/>
      <c r="D397" s="1513"/>
      <c r="E397" s="1513"/>
      <c r="F397" s="1513"/>
      <c r="G397" s="1511"/>
      <c r="H397" s="1283">
        <v>2000000</v>
      </c>
      <c r="I397" s="1283"/>
      <c r="J397" s="1283">
        <v>2000000</v>
      </c>
      <c r="L397" s="596"/>
      <c r="M397" s="597"/>
      <c r="N397" s="596"/>
      <c r="O397" s="600"/>
      <c r="P397" s="600"/>
      <c r="Q397" s="601"/>
      <c r="R397" s="596"/>
    </row>
    <row r="398" spans="1:18" s="598" customFormat="1" ht="15">
      <c r="A398" s="594"/>
      <c r="B398" s="1507" t="s">
        <v>1643</v>
      </c>
      <c r="C398" s="1513"/>
      <c r="D398" s="1513"/>
      <c r="E398" s="1513"/>
      <c r="F398" s="1513"/>
      <c r="G398" s="1511"/>
      <c r="H398" s="1283">
        <v>50000000</v>
      </c>
      <c r="I398" s="1283"/>
      <c r="J398" s="1283">
        <v>150000000</v>
      </c>
      <c r="L398" s="596"/>
      <c r="M398" s="597"/>
      <c r="N398" s="596"/>
      <c r="O398" s="600"/>
      <c r="P398" s="600"/>
      <c r="Q398" s="601"/>
      <c r="R398" s="596"/>
    </row>
    <row r="399" spans="1:18" s="598" customFormat="1" ht="15">
      <c r="A399" s="594"/>
      <c r="B399" s="1507" t="s">
        <v>1644</v>
      </c>
      <c r="C399" s="1513"/>
      <c r="D399" s="1513"/>
      <c r="E399" s="1513"/>
      <c r="F399" s="1513"/>
      <c r="G399" s="1511"/>
      <c r="H399" s="1283">
        <v>3000000</v>
      </c>
      <c r="I399" s="1283"/>
      <c r="J399" s="1283">
        <v>3000000</v>
      </c>
      <c r="L399" s="596"/>
      <c r="M399" s="597"/>
      <c r="N399" s="596"/>
      <c r="O399" s="600"/>
      <c r="P399" s="600"/>
      <c r="Q399" s="601"/>
      <c r="R399" s="596"/>
    </row>
    <row r="400" spans="1:18" s="598" customFormat="1" ht="15">
      <c r="A400" s="594"/>
      <c r="B400" s="1507" t="s">
        <v>1645</v>
      </c>
      <c r="C400" s="1513"/>
      <c r="D400" s="1513"/>
      <c r="E400" s="1513"/>
      <c r="F400" s="1513"/>
      <c r="G400" s="1511"/>
      <c r="H400" s="1283">
        <v>128034411</v>
      </c>
      <c r="I400" s="1283"/>
      <c r="J400" s="1283">
        <v>128034411</v>
      </c>
      <c r="L400" s="596"/>
      <c r="M400" s="597"/>
      <c r="N400" s="596"/>
      <c r="O400" s="600"/>
      <c r="P400" s="600"/>
      <c r="Q400" s="601"/>
      <c r="R400" s="596"/>
    </row>
    <row r="401" spans="1:18" s="598" customFormat="1" ht="15">
      <c r="A401" s="594"/>
      <c r="B401" s="1507" t="s">
        <v>1646</v>
      </c>
      <c r="C401" s="1513"/>
      <c r="D401" s="1513"/>
      <c r="E401" s="1513"/>
      <c r="F401" s="1513"/>
      <c r="G401" s="1511"/>
      <c r="H401" s="1283">
        <v>25758730</v>
      </c>
      <c r="I401" s="1283"/>
      <c r="J401" s="1283">
        <v>25758730</v>
      </c>
      <c r="L401" s="596"/>
      <c r="M401" s="597"/>
      <c r="N401" s="596"/>
      <c r="O401" s="600"/>
      <c r="P401" s="600"/>
      <c r="Q401" s="601"/>
      <c r="R401" s="596"/>
    </row>
    <row r="402" spans="1:18" s="598" customFormat="1" ht="15">
      <c r="A402" s="594"/>
      <c r="B402" s="1507" t="s">
        <v>1647</v>
      </c>
      <c r="C402" s="1513"/>
      <c r="D402" s="1513"/>
      <c r="E402" s="1513"/>
      <c r="F402" s="1513"/>
      <c r="G402" s="1511"/>
      <c r="H402" s="1283">
        <v>11354000</v>
      </c>
      <c r="I402" s="1283"/>
      <c r="J402" s="1283">
        <v>11354000</v>
      </c>
      <c r="L402" s="596"/>
      <c r="M402" s="597"/>
      <c r="N402" s="596"/>
      <c r="O402" s="600"/>
      <c r="P402" s="600"/>
      <c r="Q402" s="601"/>
      <c r="R402" s="596"/>
    </row>
    <row r="403" spans="1:18" s="598" customFormat="1" ht="15">
      <c r="A403" s="594"/>
      <c r="B403" s="1507" t="s">
        <v>1648</v>
      </c>
      <c r="C403" s="1513"/>
      <c r="D403" s="1513"/>
      <c r="E403" s="1513"/>
      <c r="F403" s="1513"/>
      <c r="G403" s="1511"/>
      <c r="H403" s="1283">
        <v>7697745</v>
      </c>
      <c r="I403" s="1283"/>
      <c r="J403" s="1283">
        <v>11361405</v>
      </c>
      <c r="L403" s="596"/>
      <c r="M403" s="597"/>
      <c r="N403" s="596"/>
      <c r="O403" s="600"/>
      <c r="P403" s="600"/>
      <c r="Q403" s="601"/>
      <c r="R403" s="596"/>
    </row>
    <row r="404" spans="1:18" s="598" customFormat="1" ht="15">
      <c r="A404" s="594"/>
      <c r="B404" s="1507" t="s">
        <v>1649</v>
      </c>
      <c r="C404" s="1513"/>
      <c r="D404" s="1513"/>
      <c r="E404" s="1513"/>
      <c r="F404" s="1513"/>
      <c r="G404" s="1511"/>
      <c r="H404" s="1283">
        <v>267401407</v>
      </c>
      <c r="I404" s="1283"/>
      <c r="J404" s="1283">
        <v>267401407</v>
      </c>
      <c r="L404" s="596"/>
      <c r="M404" s="597"/>
      <c r="N404" s="596"/>
      <c r="O404" s="600"/>
      <c r="P404" s="600"/>
      <c r="Q404" s="601"/>
      <c r="R404" s="596"/>
    </row>
    <row r="405" spans="1:18" s="598" customFormat="1" ht="15">
      <c r="A405" s="594"/>
      <c r="B405" s="1507" t="s">
        <v>1650</v>
      </c>
      <c r="C405" s="1513"/>
      <c r="D405" s="1513"/>
      <c r="E405" s="1513"/>
      <c r="F405" s="1513"/>
      <c r="G405" s="1511"/>
      <c r="H405" s="1283">
        <v>14483072</v>
      </c>
      <c r="I405" s="1283"/>
      <c r="J405" s="1283">
        <v>14483072</v>
      </c>
      <c r="L405" s="596"/>
      <c r="M405" s="597"/>
      <c r="N405" s="596"/>
      <c r="O405" s="600"/>
      <c r="P405" s="600"/>
      <c r="Q405" s="601"/>
      <c r="R405" s="596"/>
    </row>
    <row r="406" spans="1:18" s="598" customFormat="1" ht="15">
      <c r="A406" s="594"/>
      <c r="B406" s="1507" t="s">
        <v>1651</v>
      </c>
      <c r="C406" s="1513"/>
      <c r="D406" s="1513"/>
      <c r="E406" s="1513"/>
      <c r="F406" s="1513"/>
      <c r="G406" s="1511"/>
      <c r="H406" s="1283">
        <v>353726793</v>
      </c>
      <c r="I406" s="1283"/>
      <c r="J406" s="1283">
        <v>353726793</v>
      </c>
      <c r="L406" s="596"/>
      <c r="M406" s="597"/>
      <c r="N406" s="596"/>
      <c r="O406" s="600"/>
      <c r="P406" s="600"/>
      <c r="Q406" s="601"/>
      <c r="R406" s="596"/>
    </row>
    <row r="407" spans="1:18" s="598" customFormat="1" ht="15">
      <c r="A407" s="594"/>
      <c r="B407" s="1507" t="s">
        <v>194</v>
      </c>
      <c r="C407" s="1513"/>
      <c r="D407" s="1513"/>
      <c r="E407" s="1513"/>
      <c r="F407" s="1513"/>
      <c r="G407" s="1511"/>
      <c r="H407" s="1283">
        <v>26194872</v>
      </c>
      <c r="I407" s="1283"/>
      <c r="J407" s="1283">
        <v>26194872</v>
      </c>
      <c r="L407" s="596"/>
      <c r="M407" s="597"/>
      <c r="N407" s="596"/>
      <c r="O407" s="600"/>
      <c r="P407" s="600"/>
      <c r="Q407" s="601"/>
      <c r="R407" s="596"/>
    </row>
    <row r="408" spans="1:18" s="598" customFormat="1" ht="15">
      <c r="A408" s="594"/>
      <c r="B408" s="1507" t="s">
        <v>195</v>
      </c>
      <c r="C408" s="1513"/>
      <c r="D408" s="1513"/>
      <c r="E408" s="1513"/>
      <c r="F408" s="1513"/>
      <c r="G408" s="1511"/>
      <c r="H408" s="1283">
        <v>48892105</v>
      </c>
      <c r="I408" s="1283"/>
      <c r="J408" s="1283">
        <v>48892105</v>
      </c>
      <c r="L408" s="596"/>
      <c r="M408" s="597"/>
      <c r="N408" s="596"/>
      <c r="O408" s="600"/>
      <c r="P408" s="600"/>
      <c r="Q408" s="601"/>
      <c r="R408" s="596"/>
    </row>
    <row r="409" spans="1:18" s="598" customFormat="1" ht="15">
      <c r="A409" s="594"/>
      <c r="B409" s="1507" t="s">
        <v>196</v>
      </c>
      <c r="C409" s="1513"/>
      <c r="D409" s="1513"/>
      <c r="E409" s="1513"/>
      <c r="F409" s="1513"/>
      <c r="G409" s="1511"/>
      <c r="H409" s="1283">
        <v>1022644808</v>
      </c>
      <c r="I409" s="1283"/>
      <c r="J409" s="1283">
        <v>1022644808</v>
      </c>
      <c r="L409" s="596"/>
      <c r="M409" s="597"/>
      <c r="N409" s="596"/>
      <c r="O409" s="600"/>
      <c r="P409" s="600"/>
      <c r="Q409" s="601"/>
      <c r="R409" s="596"/>
    </row>
    <row r="410" spans="1:18" s="598" customFormat="1" ht="15">
      <c r="A410" s="594"/>
      <c r="B410" s="1507" t="s">
        <v>197</v>
      </c>
      <c r="C410" s="1513"/>
      <c r="D410" s="1513"/>
      <c r="E410" s="1513"/>
      <c r="F410" s="1513"/>
      <c r="G410" s="1511"/>
      <c r="H410" s="1283">
        <v>17930000</v>
      </c>
      <c r="I410" s="1283"/>
      <c r="J410" s="1283">
        <v>17930000</v>
      </c>
      <c r="L410" s="596"/>
      <c r="M410" s="597"/>
      <c r="N410" s="596"/>
      <c r="O410" s="600"/>
      <c r="P410" s="600"/>
      <c r="Q410" s="601"/>
      <c r="R410" s="596"/>
    </row>
    <row r="411" spans="1:18" s="598" customFormat="1" ht="15">
      <c r="A411" s="594"/>
      <c r="B411" s="1507" t="s">
        <v>198</v>
      </c>
      <c r="C411" s="1513"/>
      <c r="D411" s="1513"/>
      <c r="E411" s="1513"/>
      <c r="F411" s="1513"/>
      <c r="G411" s="1511"/>
      <c r="H411" s="1283">
        <v>72758075</v>
      </c>
      <c r="I411" s="1283"/>
      <c r="J411" s="1283">
        <v>72758075</v>
      </c>
      <c r="L411" s="596"/>
      <c r="M411" s="597"/>
      <c r="N411" s="596"/>
      <c r="O411" s="600"/>
      <c r="P411" s="600"/>
      <c r="Q411" s="601"/>
      <c r="R411" s="596"/>
    </row>
    <row r="412" spans="1:18" s="598" customFormat="1" ht="15">
      <c r="A412" s="594"/>
      <c r="B412" s="1507" t="s">
        <v>199</v>
      </c>
      <c r="C412" s="1513"/>
      <c r="D412" s="1513"/>
      <c r="E412" s="1513"/>
      <c r="F412" s="1513"/>
      <c r="G412" s="1511"/>
      <c r="H412" s="1283">
        <v>20450000</v>
      </c>
      <c r="I412" s="1283"/>
      <c r="J412" s="1283">
        <v>20450000</v>
      </c>
      <c r="L412" s="596"/>
      <c r="M412" s="597"/>
      <c r="N412" s="596"/>
      <c r="O412" s="600"/>
      <c r="P412" s="600"/>
      <c r="Q412" s="601"/>
      <c r="R412" s="596"/>
    </row>
    <row r="413" spans="1:18" s="598" customFormat="1" ht="15">
      <c r="A413" s="594"/>
      <c r="B413" s="1507" t="s">
        <v>200</v>
      </c>
      <c r="C413" s="1513"/>
      <c r="D413" s="1513"/>
      <c r="E413" s="1513"/>
      <c r="F413" s="1513"/>
      <c r="G413" s="1511"/>
      <c r="H413" s="1283">
        <v>32012036</v>
      </c>
      <c r="I413" s="1283"/>
      <c r="J413" s="1283">
        <v>41046000</v>
      </c>
      <c r="L413" s="596"/>
      <c r="M413" s="597"/>
      <c r="N413" s="596"/>
      <c r="O413" s="600"/>
      <c r="P413" s="600"/>
      <c r="Q413" s="601"/>
      <c r="R413" s="596"/>
    </row>
    <row r="414" spans="1:18" s="598" customFormat="1" ht="15">
      <c r="A414" s="594"/>
      <c r="B414" s="1507" t="s">
        <v>201</v>
      </c>
      <c r="C414" s="1513"/>
      <c r="D414" s="1513"/>
      <c r="E414" s="1513"/>
      <c r="F414" s="1513"/>
      <c r="G414" s="1511"/>
      <c r="H414" s="1283">
        <v>27500000</v>
      </c>
      <c r="I414" s="1283"/>
      <c r="J414" s="1283">
        <v>0</v>
      </c>
      <c r="L414" s="596"/>
      <c r="M414" s="597"/>
      <c r="N414" s="596"/>
      <c r="O414" s="600"/>
      <c r="P414" s="600"/>
      <c r="Q414" s="601"/>
      <c r="R414" s="596"/>
    </row>
    <row r="415" spans="1:18" s="598" customFormat="1" ht="15">
      <c r="A415" s="594"/>
      <c r="B415" s="1507" t="s">
        <v>202</v>
      </c>
      <c r="C415" s="1513"/>
      <c r="D415" s="1513"/>
      <c r="E415" s="1513"/>
      <c r="F415" s="1513"/>
      <c r="G415" s="1511"/>
      <c r="H415" s="1283">
        <v>0</v>
      </c>
      <c r="I415" s="1283"/>
      <c r="J415" s="1283">
        <v>2259000</v>
      </c>
      <c r="L415" s="596"/>
      <c r="M415" s="597"/>
      <c r="N415" s="596"/>
      <c r="O415" s="600"/>
      <c r="P415" s="600"/>
      <c r="Q415" s="601"/>
      <c r="R415" s="596"/>
    </row>
    <row r="416" spans="1:18" s="598" customFormat="1" ht="15">
      <c r="A416" s="594"/>
      <c r="B416" s="1507" t="s">
        <v>203</v>
      </c>
      <c r="C416" s="1513"/>
      <c r="D416" s="1513"/>
      <c r="E416" s="1513"/>
      <c r="F416" s="1513"/>
      <c r="G416" s="1511"/>
      <c r="H416" s="1283">
        <v>54647265</v>
      </c>
      <c r="I416" s="1283"/>
      <c r="J416" s="1283">
        <v>54647265</v>
      </c>
      <c r="L416" s="596"/>
      <c r="M416" s="597"/>
      <c r="N416" s="596"/>
      <c r="O416" s="600"/>
      <c r="P416" s="600"/>
      <c r="Q416" s="601"/>
      <c r="R416" s="596"/>
    </row>
    <row r="417" spans="1:18" s="598" customFormat="1" ht="15">
      <c r="A417" s="594"/>
      <c r="B417" s="1507" t="s">
        <v>204</v>
      </c>
      <c r="C417" s="1513"/>
      <c r="D417" s="1513"/>
      <c r="E417" s="1513"/>
      <c r="F417" s="1513"/>
      <c r="G417" s="1511"/>
      <c r="H417" s="1283">
        <v>5995080</v>
      </c>
      <c r="I417" s="1283"/>
      <c r="J417" s="1283">
        <v>3746925</v>
      </c>
      <c r="L417" s="596"/>
      <c r="M417" s="597"/>
      <c r="N417" s="596"/>
      <c r="O417" s="600"/>
      <c r="P417" s="600"/>
      <c r="Q417" s="601"/>
      <c r="R417" s="596"/>
    </row>
    <row r="418" spans="1:18" s="598" customFormat="1" ht="15">
      <c r="A418" s="594"/>
      <c r="B418" s="1507" t="s">
        <v>205</v>
      </c>
      <c r="C418" s="1513"/>
      <c r="D418" s="1513"/>
      <c r="E418" s="1513"/>
      <c r="F418" s="1513"/>
      <c r="G418" s="1511"/>
      <c r="H418" s="1283">
        <v>3918932</v>
      </c>
      <c r="I418" s="1283"/>
      <c r="J418" s="1283">
        <v>3918932</v>
      </c>
      <c r="L418" s="596"/>
      <c r="M418" s="597"/>
      <c r="N418" s="596"/>
      <c r="O418" s="600"/>
      <c r="P418" s="600"/>
      <c r="Q418" s="601"/>
      <c r="R418" s="596"/>
    </row>
    <row r="419" spans="1:18" s="598" customFormat="1" ht="15">
      <c r="A419" s="594"/>
      <c r="B419" s="1507" t="s">
        <v>206</v>
      </c>
      <c r="C419" s="1513"/>
      <c r="D419" s="1513"/>
      <c r="E419" s="1513"/>
      <c r="F419" s="1513"/>
      <c r="G419" s="1511"/>
      <c r="H419" s="1283">
        <v>18004676</v>
      </c>
      <c r="I419" s="1283"/>
      <c r="J419" s="1283">
        <v>0</v>
      </c>
      <c r="L419" s="596"/>
      <c r="M419" s="597"/>
      <c r="N419" s="596"/>
      <c r="O419" s="600"/>
      <c r="P419" s="600"/>
      <c r="Q419" s="601"/>
      <c r="R419" s="596"/>
    </row>
    <row r="420" spans="1:18" s="598" customFormat="1" ht="15">
      <c r="A420" s="594"/>
      <c r="B420" s="1507" t="s">
        <v>207</v>
      </c>
      <c r="C420" s="1513"/>
      <c r="D420" s="1513"/>
      <c r="E420" s="1513"/>
      <c r="F420" s="1513"/>
      <c r="G420" s="1511"/>
      <c r="H420" s="1283">
        <v>16988283</v>
      </c>
      <c r="I420" s="1283"/>
      <c r="J420" s="1283">
        <v>0</v>
      </c>
      <c r="L420" s="596"/>
      <c r="M420" s="597"/>
      <c r="N420" s="596"/>
      <c r="O420" s="600"/>
      <c r="P420" s="600"/>
      <c r="Q420" s="601"/>
      <c r="R420" s="596"/>
    </row>
    <row r="421" spans="1:18" s="598" customFormat="1" ht="15">
      <c r="A421" s="594"/>
      <c r="B421" s="1507" t="s">
        <v>208</v>
      </c>
      <c r="C421" s="1513"/>
      <c r="D421" s="1513"/>
      <c r="E421" s="1513"/>
      <c r="F421" s="1513"/>
      <c r="G421" s="1511"/>
      <c r="H421" s="1283">
        <v>0</v>
      </c>
      <c r="I421" s="1283"/>
      <c r="J421" s="1283">
        <v>40326218</v>
      </c>
      <c r="L421" s="596"/>
      <c r="M421" s="597"/>
      <c r="N421" s="596"/>
      <c r="O421" s="600"/>
      <c r="P421" s="600"/>
      <c r="Q421" s="601"/>
      <c r="R421" s="596"/>
    </row>
    <row r="422" spans="1:18" s="598" customFormat="1" ht="15">
      <c r="A422" s="594"/>
      <c r="B422" s="1507" t="s">
        <v>209</v>
      </c>
      <c r="C422" s="1513"/>
      <c r="D422" s="1513"/>
      <c r="E422" s="1513"/>
      <c r="F422" s="1513"/>
      <c r="G422" s="1511"/>
      <c r="H422" s="1283">
        <v>380542430</v>
      </c>
      <c r="I422" s="1283"/>
      <c r="J422" s="1283">
        <v>380542430</v>
      </c>
      <c r="L422" s="596"/>
      <c r="M422" s="597"/>
      <c r="N422" s="596"/>
      <c r="O422" s="600"/>
      <c r="P422" s="600"/>
      <c r="Q422" s="601"/>
      <c r="R422" s="596"/>
    </row>
    <row r="423" spans="1:18" s="598" customFormat="1" ht="15">
      <c r="A423" s="594"/>
      <c r="B423" s="1507" t="s">
        <v>210</v>
      </c>
      <c r="C423" s="1513"/>
      <c r="D423" s="1513"/>
      <c r="E423" s="1513"/>
      <c r="F423" s="1513"/>
      <c r="G423" s="1511"/>
      <c r="H423" s="1283">
        <v>78560586</v>
      </c>
      <c r="I423" s="1283"/>
      <c r="J423" s="1283">
        <v>0</v>
      </c>
      <c r="L423" s="596"/>
      <c r="M423" s="597"/>
      <c r="N423" s="596"/>
      <c r="O423" s="600"/>
      <c r="P423" s="600"/>
      <c r="Q423" s="601"/>
      <c r="R423" s="596"/>
    </row>
    <row r="424" spans="1:18" s="598" customFormat="1" ht="15">
      <c r="A424" s="594"/>
      <c r="B424" s="1507"/>
      <c r="C424" s="1513"/>
      <c r="D424" s="1513"/>
      <c r="E424" s="1513"/>
      <c r="F424" s="1513"/>
      <c r="G424" s="1511"/>
      <c r="H424" s="1283"/>
      <c r="I424" s="1283"/>
      <c r="J424" s="1283"/>
      <c r="L424" s="596"/>
      <c r="M424" s="597"/>
      <c r="N424" s="596"/>
      <c r="O424" s="600"/>
      <c r="P424" s="600"/>
      <c r="Q424" s="601"/>
      <c r="R424" s="596"/>
    </row>
    <row r="425" spans="1:18" s="598" customFormat="1" ht="15">
      <c r="A425" s="594"/>
      <c r="B425" s="1675" t="s">
        <v>595</v>
      </c>
      <c r="C425" s="1675"/>
      <c r="D425" s="1675"/>
      <c r="E425" s="1675"/>
      <c r="F425" s="1675"/>
      <c r="H425" s="1398">
        <f>H426</f>
        <v>7063069</v>
      </c>
      <c r="I425" s="1398"/>
      <c r="J425" s="1398">
        <f>J426</f>
        <v>7063069</v>
      </c>
      <c r="L425" s="596"/>
      <c r="M425" s="597"/>
      <c r="N425" s="596"/>
      <c r="O425" s="600"/>
      <c r="P425" s="600"/>
      <c r="Q425" s="601"/>
      <c r="R425" s="596"/>
    </row>
    <row r="426" spans="1:18" s="598" customFormat="1" ht="15">
      <c r="A426" s="594"/>
      <c r="B426" s="1510" t="s">
        <v>211</v>
      </c>
      <c r="C426" s="1321"/>
      <c r="D426" s="1321"/>
      <c r="E426" s="1321"/>
      <c r="F426" s="1321"/>
      <c r="H426" s="1283">
        <v>7063069</v>
      </c>
      <c r="I426" s="1283"/>
      <c r="J426" s="1283">
        <v>7063069</v>
      </c>
      <c r="L426" s="596"/>
      <c r="M426" s="597"/>
      <c r="N426" s="596"/>
      <c r="O426" s="600"/>
      <c r="P426" s="600"/>
      <c r="Q426" s="601"/>
      <c r="R426" s="596"/>
    </row>
    <row r="427" spans="1:18" s="598" customFormat="1" ht="15" hidden="1">
      <c r="A427" s="594"/>
      <c r="B427" s="1491" t="s">
        <v>295</v>
      </c>
      <c r="C427" s="1253"/>
      <c r="D427" s="1253"/>
      <c r="E427" s="1253"/>
      <c r="F427" s="1253"/>
      <c r="H427" s="1283">
        <v>0</v>
      </c>
      <c r="I427" s="1283"/>
      <c r="J427" s="1283">
        <v>0</v>
      </c>
      <c r="L427" s="596"/>
      <c r="M427" s="597"/>
      <c r="N427" s="596"/>
      <c r="O427" s="600"/>
      <c r="P427" s="600"/>
      <c r="Q427" s="601"/>
      <c r="R427" s="596"/>
    </row>
    <row r="428" spans="1:18" s="598" customFormat="1" ht="9" customHeight="1">
      <c r="A428" s="594"/>
      <c r="B428" s="1492"/>
      <c r="H428" s="595"/>
      <c r="I428" s="599"/>
      <c r="J428" s="595"/>
      <c r="L428" s="596"/>
      <c r="M428" s="597"/>
      <c r="N428" s="596"/>
      <c r="O428" s="600"/>
      <c r="P428" s="600"/>
      <c r="Q428" s="601"/>
      <c r="R428" s="596"/>
    </row>
    <row r="429" spans="1:18" s="598" customFormat="1" ht="15.75" thickBot="1">
      <c r="A429" s="594"/>
      <c r="B429" s="633" t="s">
        <v>1571</v>
      </c>
      <c r="C429" s="628"/>
      <c r="D429" s="628"/>
      <c r="E429" s="628"/>
      <c r="F429" s="628"/>
      <c r="G429" s="616"/>
      <c r="H429" s="629">
        <f>H234+H317+H392</f>
        <v>312698459822</v>
      </c>
      <c r="I429" s="613"/>
      <c r="J429" s="629">
        <f>J234+J317+J392</f>
        <v>260829622718</v>
      </c>
      <c r="L429" s="596">
        <f>H429-BS!L20-BS!L21-BS!L24</f>
        <v>0</v>
      </c>
      <c r="M429" s="597"/>
      <c r="N429" s="596">
        <f>J429-BS!N20-BS!N21-BS!N24</f>
        <v>0</v>
      </c>
      <c r="O429" s="600"/>
      <c r="P429" s="600"/>
      <c r="Q429" s="601"/>
      <c r="R429" s="596"/>
    </row>
    <row r="430" spans="1:18" s="598" customFormat="1" ht="15.75" thickTop="1">
      <c r="A430" s="594"/>
      <c r="B430" s="1492"/>
      <c r="H430" s="595"/>
      <c r="I430" s="599"/>
      <c r="J430" s="595"/>
      <c r="L430" s="596"/>
      <c r="M430" s="597"/>
      <c r="N430" s="596"/>
      <c r="O430" s="600"/>
      <c r="P430" s="600"/>
      <c r="Q430" s="601"/>
      <c r="R430" s="596"/>
    </row>
    <row r="431" spans="1:18" s="594" customFormat="1" ht="18" customHeight="1">
      <c r="A431" s="609" t="s">
        <v>668</v>
      </c>
      <c r="B431" s="604" t="s">
        <v>933</v>
      </c>
      <c r="H431" s="612" t="s">
        <v>637</v>
      </c>
      <c r="I431" s="613"/>
      <c r="J431" s="1136" t="s">
        <v>256</v>
      </c>
      <c r="L431" s="596"/>
      <c r="M431" s="597"/>
      <c r="N431" s="596"/>
      <c r="O431" s="596"/>
      <c r="P431" s="596"/>
      <c r="Q431" s="597"/>
      <c r="R431" s="596"/>
    </row>
    <row r="432" spans="1:18" s="594" customFormat="1" ht="3" customHeight="1">
      <c r="A432" s="609"/>
      <c r="B432" s="604"/>
      <c r="H432" s="614"/>
      <c r="I432" s="613"/>
      <c r="J432" s="614"/>
      <c r="L432" s="596"/>
      <c r="M432" s="597"/>
      <c r="N432" s="596"/>
      <c r="O432" s="596"/>
      <c r="P432" s="596"/>
      <c r="Q432" s="597"/>
      <c r="R432" s="596"/>
    </row>
    <row r="433" spans="2:18" s="598" customFormat="1" ht="18" customHeight="1">
      <c r="B433" s="1326" t="s">
        <v>297</v>
      </c>
      <c r="H433" s="1327">
        <v>175796382</v>
      </c>
      <c r="I433" s="613"/>
      <c r="J433" s="1327">
        <f>J434</f>
        <v>56800000</v>
      </c>
      <c r="L433" s="600"/>
      <c r="M433" s="601"/>
      <c r="N433" s="600"/>
      <c r="O433" s="600"/>
      <c r="P433" s="600"/>
      <c r="Q433" s="601"/>
      <c r="R433" s="600"/>
    </row>
    <row r="434" spans="2:18" s="684" customFormat="1" ht="18" hidden="1" customHeight="1">
      <c r="B434" s="1322" t="s">
        <v>294</v>
      </c>
      <c r="H434" s="1396">
        <v>56800000</v>
      </c>
      <c r="I434" s="1397"/>
      <c r="J434" s="1396">
        <v>56800000</v>
      </c>
      <c r="L434" s="642"/>
      <c r="M434" s="645"/>
      <c r="N434" s="642"/>
      <c r="O434" s="642"/>
      <c r="P434" s="642"/>
      <c r="Q434" s="645"/>
      <c r="R434" s="642"/>
    </row>
    <row r="435" spans="2:18" s="618" customFormat="1" ht="14.25">
      <c r="B435" s="1326" t="s">
        <v>298</v>
      </c>
      <c r="C435" s="620"/>
      <c r="D435" s="620"/>
      <c r="E435" s="620"/>
      <c r="F435" s="620"/>
      <c r="G435" s="620"/>
      <c r="H435" s="621">
        <v>932713206</v>
      </c>
      <c r="I435" s="621"/>
      <c r="J435" s="621">
        <v>19825172</v>
      </c>
      <c r="L435" s="600"/>
      <c r="M435" s="622"/>
      <c r="N435" s="600"/>
      <c r="O435" s="600"/>
      <c r="P435" s="600"/>
      <c r="Q435" s="622"/>
      <c r="R435" s="600"/>
    </row>
    <row r="436" spans="2:18" s="641" customFormat="1" ht="15" hidden="1">
      <c r="B436" s="1322" t="s">
        <v>294</v>
      </c>
      <c r="C436" s="1323"/>
      <c r="D436" s="1323"/>
      <c r="E436" s="1323"/>
      <c r="F436" s="1323"/>
      <c r="G436" s="1323"/>
      <c r="H436" s="646"/>
      <c r="I436" s="646"/>
      <c r="J436" s="646">
        <v>78577887</v>
      </c>
      <c r="L436" s="642"/>
      <c r="M436" s="1324"/>
      <c r="N436" s="642"/>
      <c r="O436" s="642"/>
      <c r="P436" s="642"/>
      <c r="Q436" s="1324"/>
      <c r="R436" s="642"/>
    </row>
    <row r="437" spans="2:18" s="641" customFormat="1" ht="15" hidden="1">
      <c r="B437" s="1322" t="s">
        <v>295</v>
      </c>
      <c r="C437" s="1323"/>
      <c r="D437" s="1323"/>
      <c r="E437" s="1323"/>
      <c r="F437" s="1323"/>
      <c r="G437" s="1323"/>
      <c r="H437" s="646"/>
      <c r="I437" s="646"/>
      <c r="J437" s="646">
        <v>25900301</v>
      </c>
      <c r="L437" s="642"/>
      <c r="M437" s="1324"/>
      <c r="N437" s="642"/>
      <c r="O437" s="642"/>
      <c r="P437" s="642"/>
      <c r="Q437" s="1324"/>
      <c r="R437" s="642"/>
    </row>
    <row r="438" spans="2:18" s="594" customFormat="1" ht="19.5" customHeight="1">
      <c r="B438" s="1326" t="s">
        <v>299</v>
      </c>
      <c r="H438" s="621">
        <v>72390190635</v>
      </c>
      <c r="I438" s="595"/>
      <c r="J438" s="1283">
        <v>71073995975</v>
      </c>
      <c r="L438" s="596"/>
      <c r="M438" s="597"/>
      <c r="N438" s="596"/>
      <c r="O438" s="596"/>
      <c r="P438" s="596"/>
      <c r="Q438" s="597"/>
      <c r="R438" s="596"/>
    </row>
    <row r="439" spans="2:18" s="631" customFormat="1" ht="19.5" hidden="1" customHeight="1">
      <c r="B439" s="1322" t="s">
        <v>294</v>
      </c>
      <c r="H439" s="646"/>
      <c r="I439" s="1398"/>
      <c r="J439" s="1325">
        <v>36152470967</v>
      </c>
      <c r="L439" s="626"/>
      <c r="M439" s="632"/>
      <c r="N439" s="626"/>
      <c r="O439" s="626"/>
      <c r="P439" s="626"/>
      <c r="Q439" s="632"/>
      <c r="R439" s="626"/>
    </row>
    <row r="440" spans="2:18" s="631" customFormat="1" ht="19.5" hidden="1" customHeight="1">
      <c r="B440" s="1322" t="s">
        <v>295</v>
      </c>
      <c r="H440" s="646"/>
      <c r="I440" s="1398"/>
      <c r="J440" s="1325">
        <v>23309865220</v>
      </c>
      <c r="L440" s="626"/>
      <c r="M440" s="632"/>
      <c r="N440" s="626"/>
      <c r="O440" s="626"/>
      <c r="P440" s="626"/>
      <c r="Q440" s="632"/>
      <c r="R440" s="626"/>
    </row>
    <row r="441" spans="2:18" s="631" customFormat="1" ht="19.5" customHeight="1">
      <c r="B441" s="1326" t="s">
        <v>300</v>
      </c>
      <c r="H441" s="1254">
        <v>2447245023</v>
      </c>
      <c r="I441" s="1398"/>
      <c r="J441" s="1325">
        <v>124137000</v>
      </c>
      <c r="L441" s="626"/>
      <c r="M441" s="632"/>
      <c r="N441" s="626"/>
      <c r="O441" s="626"/>
      <c r="P441" s="626"/>
      <c r="Q441" s="632"/>
      <c r="R441" s="626"/>
    </row>
    <row r="442" spans="2:18" s="618" customFormat="1" ht="15" customHeight="1">
      <c r="B442" s="1326" t="s">
        <v>596</v>
      </c>
      <c r="C442" s="620"/>
      <c r="D442" s="620"/>
      <c r="E442" s="620"/>
      <c r="F442" s="620"/>
      <c r="G442" s="620"/>
      <c r="H442" s="621">
        <v>29061903817</v>
      </c>
      <c r="I442" s="621"/>
      <c r="J442" s="621">
        <v>15214954122</v>
      </c>
      <c r="L442" s="600"/>
      <c r="M442" s="622"/>
      <c r="N442" s="600"/>
      <c r="O442" s="600"/>
      <c r="P442" s="600"/>
      <c r="Q442" s="622"/>
      <c r="R442" s="600"/>
    </row>
    <row r="443" spans="2:18" s="641" customFormat="1" ht="15" hidden="1" customHeight="1">
      <c r="B443" s="1322" t="s">
        <v>294</v>
      </c>
      <c r="C443" s="1323"/>
      <c r="D443" s="1323"/>
      <c r="E443" s="1323"/>
      <c r="F443" s="1323"/>
      <c r="G443" s="1323"/>
      <c r="H443" s="646"/>
      <c r="I443" s="646"/>
      <c r="J443" s="646">
        <v>6275301603</v>
      </c>
      <c r="L443" s="642"/>
      <c r="M443" s="1324"/>
      <c r="N443" s="642"/>
      <c r="O443" s="642"/>
      <c r="P443" s="642"/>
      <c r="Q443" s="1324"/>
      <c r="R443" s="642"/>
    </row>
    <row r="444" spans="2:18" s="641" customFormat="1" ht="15" hidden="1" customHeight="1">
      <c r="B444" s="1322" t="s">
        <v>295</v>
      </c>
      <c r="C444" s="1323"/>
      <c r="D444" s="1323"/>
      <c r="E444" s="1323"/>
      <c r="F444" s="1323"/>
      <c r="G444" s="1323"/>
      <c r="H444" s="646"/>
      <c r="I444" s="646"/>
      <c r="J444" s="646">
        <v>11510790905</v>
      </c>
      <c r="L444" s="642"/>
      <c r="M444" s="1324"/>
      <c r="N444" s="642"/>
      <c r="O444" s="642"/>
      <c r="P444" s="642"/>
      <c r="Q444" s="1324"/>
      <c r="R444" s="642"/>
    </row>
    <row r="445" spans="2:18" s="618" customFormat="1" ht="9" customHeight="1">
      <c r="B445" s="619"/>
      <c r="C445" s="620"/>
      <c r="D445" s="620"/>
      <c r="E445" s="620"/>
      <c r="F445" s="620"/>
      <c r="G445" s="620"/>
      <c r="H445" s="621"/>
      <c r="I445" s="621"/>
      <c r="J445" s="621"/>
      <c r="L445" s="600"/>
      <c r="M445" s="622"/>
      <c r="N445" s="600"/>
      <c r="O445" s="600"/>
      <c r="P445" s="600"/>
      <c r="Q445" s="622"/>
      <c r="R445" s="600"/>
    </row>
    <row r="446" spans="2:18" s="598" customFormat="1" ht="18" customHeight="1" thickBot="1">
      <c r="B446" s="633" t="s">
        <v>1571</v>
      </c>
      <c r="C446" s="628"/>
      <c r="D446" s="628"/>
      <c r="E446" s="628"/>
      <c r="F446" s="628"/>
      <c r="G446" s="616"/>
      <c r="H446" s="629">
        <f>H433+H435+H438+H441+H442</f>
        <v>105007849063</v>
      </c>
      <c r="I446" s="613"/>
      <c r="J446" s="629">
        <f>J433+J435+J438+J441+J442</f>
        <v>86489712269</v>
      </c>
      <c r="L446" s="596">
        <f>H446-BS!L27</f>
        <v>0</v>
      </c>
      <c r="M446" s="597"/>
      <c r="N446" s="596">
        <f>J446-BS!N27</f>
        <v>0</v>
      </c>
      <c r="O446" s="600"/>
      <c r="P446" s="600"/>
      <c r="Q446" s="601"/>
      <c r="R446" s="596"/>
    </row>
    <row r="447" spans="2:18" s="598" customFormat="1" ht="7.5" customHeight="1" thickTop="1">
      <c r="B447" s="608"/>
      <c r="H447" s="599"/>
      <c r="I447" s="599"/>
      <c r="J447" s="599"/>
      <c r="L447" s="596"/>
      <c r="M447" s="597"/>
      <c r="N447" s="596"/>
      <c r="O447" s="600"/>
      <c r="P447" s="600"/>
      <c r="Q447" s="601"/>
      <c r="R447" s="596"/>
    </row>
    <row r="448" spans="2:18" s="598" customFormat="1" ht="18.75" hidden="1" customHeight="1">
      <c r="B448" s="608" t="s">
        <v>767</v>
      </c>
      <c r="H448" s="599"/>
      <c r="I448" s="599"/>
      <c r="J448" s="599"/>
      <c r="L448" s="596"/>
      <c r="M448" s="597"/>
      <c r="N448" s="596"/>
      <c r="O448" s="600"/>
      <c r="P448" s="600"/>
      <c r="Q448" s="601"/>
      <c r="R448" s="596"/>
    </row>
    <row r="449" spans="1:18" s="598" customFormat="1" ht="18.75" hidden="1" customHeight="1">
      <c r="B449" s="608" t="s">
        <v>768</v>
      </c>
      <c r="H449" s="599"/>
      <c r="I449" s="599"/>
      <c r="J449" s="599"/>
      <c r="L449" s="596"/>
      <c r="M449" s="597"/>
      <c r="N449" s="596"/>
      <c r="O449" s="600"/>
      <c r="P449" s="600"/>
      <c r="Q449" s="601"/>
      <c r="R449" s="596"/>
    </row>
    <row r="450" spans="1:18" s="598" customFormat="1" ht="18.75" hidden="1" customHeight="1">
      <c r="B450" s="608" t="s">
        <v>931</v>
      </c>
      <c r="H450" s="599"/>
      <c r="I450" s="599"/>
      <c r="J450" s="599"/>
      <c r="L450" s="596"/>
      <c r="M450" s="597"/>
      <c r="N450" s="596"/>
      <c r="O450" s="600"/>
      <c r="P450" s="600"/>
      <c r="Q450" s="601"/>
      <c r="R450" s="596"/>
    </row>
    <row r="451" spans="1:18" s="598" customFormat="1" ht="18" hidden="1" customHeight="1">
      <c r="A451" s="609" t="s">
        <v>669</v>
      </c>
      <c r="B451" s="604" t="s">
        <v>1511</v>
      </c>
      <c r="H451" s="612" t="s">
        <v>922</v>
      </c>
      <c r="I451" s="613"/>
      <c r="J451" s="1136" t="s">
        <v>0</v>
      </c>
      <c r="L451" s="596"/>
      <c r="M451" s="597"/>
      <c r="N451" s="596"/>
      <c r="O451" s="600"/>
      <c r="P451" s="600"/>
      <c r="Q451" s="601"/>
      <c r="R451" s="596"/>
    </row>
    <row r="452" spans="1:18" s="598" customFormat="1" ht="15.75" hidden="1" customHeight="1">
      <c r="A452" s="631"/>
      <c r="B452" s="619"/>
      <c r="H452" s="621"/>
      <c r="I452" s="621"/>
      <c r="J452" s="621"/>
      <c r="K452" s="641"/>
      <c r="L452" s="596"/>
      <c r="M452" s="597"/>
      <c r="N452" s="596"/>
      <c r="O452" s="600"/>
      <c r="P452" s="600"/>
      <c r="Q452" s="601"/>
      <c r="R452" s="596"/>
    </row>
    <row r="453" spans="1:18" s="598" customFormat="1" ht="15.75" hidden="1" customHeight="1">
      <c r="A453" s="631"/>
      <c r="B453" s="619"/>
      <c r="H453" s="621"/>
      <c r="I453" s="621"/>
      <c r="J453" s="621"/>
      <c r="K453" s="641"/>
      <c r="L453" s="596"/>
      <c r="M453" s="597"/>
      <c r="N453" s="596"/>
      <c r="O453" s="600"/>
      <c r="P453" s="600"/>
      <c r="Q453" s="601"/>
      <c r="R453" s="596"/>
    </row>
    <row r="454" spans="1:18" s="598" customFormat="1" ht="15.75" hidden="1" customHeight="1">
      <c r="A454" s="631"/>
      <c r="B454" s="623"/>
      <c r="H454" s="617"/>
      <c r="I454" s="621"/>
      <c r="J454" s="617"/>
      <c r="K454" s="641"/>
      <c r="L454" s="596"/>
      <c r="M454" s="597"/>
      <c r="N454" s="596"/>
      <c r="O454" s="600"/>
      <c r="P454" s="600"/>
      <c r="Q454" s="601"/>
      <c r="R454" s="596"/>
    </row>
    <row r="455" spans="1:18" s="598" customFormat="1" ht="15.75" hidden="1" customHeight="1">
      <c r="A455" s="631"/>
      <c r="B455" s="608"/>
      <c r="H455" s="621"/>
      <c r="I455" s="621"/>
      <c r="J455" s="621"/>
      <c r="K455" s="641"/>
      <c r="L455" s="596"/>
      <c r="M455" s="597"/>
      <c r="N455" s="596"/>
      <c r="O455" s="600"/>
      <c r="P455" s="600"/>
      <c r="Q455" s="601"/>
      <c r="R455" s="596"/>
    </row>
    <row r="456" spans="1:18" s="594" customFormat="1" ht="15.75" hidden="1" thickBot="1">
      <c r="B456" s="643" t="s">
        <v>1571</v>
      </c>
      <c r="C456" s="644"/>
      <c r="D456" s="644"/>
      <c r="E456" s="644"/>
      <c r="F456" s="644"/>
      <c r="H456" s="629"/>
      <c r="I456" s="613"/>
      <c r="J456" s="629"/>
      <c r="K456" s="631"/>
      <c r="L456" s="596"/>
      <c r="M456" s="597"/>
      <c r="N456" s="596"/>
      <c r="O456" s="596"/>
      <c r="P456" s="596"/>
      <c r="Q456" s="597"/>
      <c r="R456" s="596"/>
    </row>
    <row r="457" spans="1:18" s="594" customFormat="1" ht="7.5" customHeight="1">
      <c r="B457" s="683"/>
      <c r="C457" s="597"/>
      <c r="D457" s="597"/>
      <c r="E457" s="597"/>
      <c r="F457" s="597"/>
      <c r="H457" s="617"/>
      <c r="I457" s="617"/>
      <c r="J457" s="617"/>
      <c r="K457" s="631"/>
      <c r="L457" s="596"/>
      <c r="M457" s="597"/>
      <c r="N457" s="596"/>
      <c r="O457" s="596"/>
      <c r="P457" s="596"/>
      <c r="Q457" s="597"/>
      <c r="R457" s="596"/>
    </row>
    <row r="458" spans="1:18" s="598" customFormat="1" ht="18" hidden="1" customHeight="1">
      <c r="A458" s="609" t="s">
        <v>673</v>
      </c>
      <c r="B458" s="604" t="s">
        <v>1357</v>
      </c>
      <c r="H458" s="614"/>
      <c r="I458" s="614"/>
      <c r="J458" s="614"/>
      <c r="L458" s="626"/>
      <c r="M458" s="632"/>
      <c r="N458" s="626"/>
      <c r="O458" s="626"/>
      <c r="P458" s="626"/>
      <c r="Q458" s="632"/>
      <c r="R458" s="596"/>
    </row>
    <row r="459" spans="1:18" ht="15" hidden="1">
      <c r="A459" s="634"/>
      <c r="B459" s="648" t="s">
        <v>944</v>
      </c>
      <c r="C459" s="831"/>
      <c r="D459" s="831"/>
      <c r="E459" s="831"/>
      <c r="F459" s="831"/>
      <c r="G459" s="831"/>
      <c r="H459" s="621"/>
      <c r="I459" s="823"/>
      <c r="J459" s="823"/>
      <c r="L459" s="828"/>
      <c r="M459" s="829"/>
      <c r="N459" s="828"/>
      <c r="O459" s="828"/>
      <c r="P459" s="828"/>
      <c r="Q459" s="829"/>
      <c r="R459" s="638"/>
    </row>
    <row r="460" spans="1:18" ht="15" hidden="1">
      <c r="A460" s="634"/>
      <c r="B460" s="648" t="s">
        <v>945</v>
      </c>
      <c r="C460" s="831"/>
      <c r="D460" s="831"/>
      <c r="E460" s="831"/>
      <c r="F460" s="831"/>
      <c r="G460" s="831"/>
      <c r="H460" s="621"/>
      <c r="I460" s="823"/>
      <c r="J460" s="823"/>
      <c r="L460" s="828"/>
      <c r="M460" s="829"/>
      <c r="N460" s="828"/>
      <c r="O460" s="828"/>
      <c r="P460" s="828"/>
      <c r="Q460" s="829"/>
      <c r="R460" s="638"/>
    </row>
    <row r="461" spans="1:18" ht="15" hidden="1">
      <c r="A461" s="634"/>
      <c r="H461" s="621"/>
      <c r="I461" s="823"/>
      <c r="J461" s="823"/>
      <c r="L461" s="824"/>
      <c r="M461" s="833"/>
      <c r="N461" s="824"/>
      <c r="O461" s="824"/>
      <c r="P461" s="824"/>
      <c r="Q461" s="833"/>
    </row>
    <row r="462" spans="1:18" ht="15.75" hidden="1" thickBot="1">
      <c r="A462" s="634"/>
      <c r="B462" s="830" t="s">
        <v>1571</v>
      </c>
      <c r="C462" s="832"/>
      <c r="D462" s="832"/>
      <c r="E462" s="832"/>
      <c r="F462" s="832"/>
      <c r="G462" s="697"/>
      <c r="H462" s="617"/>
      <c r="I462" s="695"/>
      <c r="J462" s="695"/>
      <c r="L462" s="824">
        <f>H462-BS!L41</f>
        <v>-18399397218</v>
      </c>
      <c r="M462" s="833"/>
      <c r="N462" s="824">
        <f>J462-BS!N41</f>
        <v>-31311087464</v>
      </c>
      <c r="O462" s="824"/>
      <c r="P462" s="824"/>
      <c r="Q462" s="833"/>
    </row>
    <row r="463" spans="1:18" ht="3" hidden="1" customHeight="1">
      <c r="A463" s="634"/>
      <c r="H463" s="621"/>
      <c r="I463" s="823"/>
      <c r="J463" s="823"/>
      <c r="L463" s="824"/>
      <c r="M463" s="833"/>
      <c r="N463" s="824"/>
      <c r="O463" s="824"/>
      <c r="P463" s="824"/>
      <c r="Q463" s="833"/>
    </row>
    <row r="464" spans="1:18" s="598" customFormat="1" ht="18" hidden="1" customHeight="1">
      <c r="A464" s="609" t="s">
        <v>676</v>
      </c>
      <c r="B464" s="604" t="s">
        <v>1573</v>
      </c>
      <c r="H464" s="614"/>
      <c r="I464" s="614"/>
      <c r="J464" s="614"/>
      <c r="L464" s="626"/>
      <c r="M464" s="632"/>
      <c r="N464" s="626"/>
      <c r="O464" s="626"/>
      <c r="P464" s="626"/>
      <c r="Q464" s="632"/>
      <c r="R464" s="596"/>
    </row>
    <row r="465" spans="1:17" ht="15" hidden="1">
      <c r="A465" s="634"/>
      <c r="B465" s="648" t="s">
        <v>946</v>
      </c>
      <c r="C465" s="831"/>
      <c r="D465" s="831"/>
      <c r="E465" s="831"/>
      <c r="F465" s="831"/>
      <c r="G465" s="831"/>
      <c r="H465" s="837"/>
      <c r="I465" s="827"/>
      <c r="J465" s="834"/>
      <c r="L465" s="824"/>
      <c r="M465" s="833"/>
      <c r="N465" s="824"/>
      <c r="O465" s="824"/>
      <c r="P465" s="824"/>
      <c r="Q465" s="833"/>
    </row>
    <row r="466" spans="1:17" ht="15" hidden="1">
      <c r="A466" s="634"/>
      <c r="B466" s="648" t="s">
        <v>947</v>
      </c>
      <c r="C466" s="831"/>
      <c r="D466" s="831"/>
      <c r="E466" s="831"/>
      <c r="F466" s="831"/>
      <c r="G466" s="831"/>
      <c r="H466" s="837">
        <v>0</v>
      </c>
      <c r="I466" s="827"/>
      <c r="J466" s="834">
        <v>0</v>
      </c>
      <c r="L466" s="824"/>
      <c r="M466" s="833"/>
      <c r="N466" s="824"/>
      <c r="O466" s="824"/>
      <c r="P466" s="824"/>
      <c r="Q466" s="833"/>
    </row>
    <row r="467" spans="1:17" ht="15" hidden="1">
      <c r="A467" s="634"/>
      <c r="B467" s="648" t="s">
        <v>948</v>
      </c>
      <c r="C467" s="831"/>
      <c r="D467" s="831"/>
      <c r="E467" s="831"/>
      <c r="F467" s="831"/>
      <c r="G467" s="831"/>
      <c r="H467" s="837">
        <v>0</v>
      </c>
      <c r="I467" s="827"/>
      <c r="J467" s="834">
        <v>0</v>
      </c>
      <c r="L467" s="824"/>
      <c r="M467" s="833"/>
      <c r="N467" s="824"/>
      <c r="O467" s="824"/>
      <c r="P467" s="824"/>
      <c r="Q467" s="833"/>
    </row>
    <row r="468" spans="1:17" ht="15" hidden="1">
      <c r="A468" s="634"/>
      <c r="B468" s="648" t="s">
        <v>1286</v>
      </c>
      <c r="C468" s="831"/>
      <c r="D468" s="831"/>
      <c r="E468" s="831"/>
      <c r="F468" s="831"/>
      <c r="G468" s="831"/>
      <c r="H468" s="837">
        <v>0</v>
      </c>
      <c r="I468" s="827"/>
      <c r="J468" s="834">
        <v>0</v>
      </c>
      <c r="L468" s="824"/>
      <c r="M468" s="833"/>
      <c r="N468" s="824"/>
      <c r="O468" s="824"/>
      <c r="P468" s="824"/>
      <c r="Q468" s="833"/>
    </row>
    <row r="469" spans="1:17" ht="6.75" hidden="1" customHeight="1">
      <c r="A469" s="634"/>
      <c r="L469" s="824"/>
      <c r="M469" s="833"/>
      <c r="N469" s="824"/>
      <c r="O469" s="824"/>
      <c r="P469" s="824"/>
      <c r="Q469" s="833"/>
    </row>
    <row r="470" spans="1:17" ht="15.75" hidden="1" thickBot="1">
      <c r="A470" s="634"/>
      <c r="B470" s="830" t="s">
        <v>1571</v>
      </c>
      <c r="C470" s="832"/>
      <c r="D470" s="832"/>
      <c r="E470" s="832"/>
      <c r="F470" s="832"/>
      <c r="G470" s="697"/>
      <c r="H470" s="629">
        <f>SUM(H465:H469)</f>
        <v>0</v>
      </c>
      <c r="I470" s="704"/>
      <c r="J470" s="825">
        <f>SUM(J465:J469)</f>
        <v>0</v>
      </c>
      <c r="L470" s="824">
        <f ca="1">H470-BS!L42</f>
        <v>0</v>
      </c>
      <c r="M470" s="833"/>
      <c r="N470" s="824">
        <f>J470-BS!N42</f>
        <v>0</v>
      </c>
      <c r="O470" s="824"/>
      <c r="P470" s="824"/>
      <c r="Q470" s="833"/>
    </row>
    <row r="471" spans="1:17" ht="15"/>
  </sheetData>
  <mergeCells count="166">
    <mergeCell ref="B181:F181"/>
    <mergeCell ref="B213:C213"/>
    <mergeCell ref="D192:F192"/>
    <mergeCell ref="H192:J192"/>
    <mergeCell ref="B192:B193"/>
    <mergeCell ref="B186:D186"/>
    <mergeCell ref="B177:F177"/>
    <mergeCell ref="B171:J171"/>
    <mergeCell ref="B227:J227"/>
    <mergeCell ref="B214:C214"/>
    <mergeCell ref="B215:C215"/>
    <mergeCell ref="B219:C219"/>
    <mergeCell ref="B220:C220"/>
    <mergeCell ref="B221:C221"/>
    <mergeCell ref="B160:J160"/>
    <mergeCell ref="B168:J168"/>
    <mergeCell ref="B154:J154"/>
    <mergeCell ref="B155:J155"/>
    <mergeCell ref="B153:J153"/>
    <mergeCell ref="B164:J164"/>
    <mergeCell ref="B157:J157"/>
    <mergeCell ref="B166:J166"/>
    <mergeCell ref="B169:J169"/>
    <mergeCell ref="B17:J17"/>
    <mergeCell ref="B36:J36"/>
    <mergeCell ref="B123:J123"/>
    <mergeCell ref="B124:J124"/>
    <mergeCell ref="B131:J131"/>
    <mergeCell ref="B126:J126"/>
    <mergeCell ref="B129:J129"/>
    <mergeCell ref="B127:J127"/>
    <mergeCell ref="B128:J128"/>
    <mergeCell ref="B5:J5"/>
    <mergeCell ref="B6:J6"/>
    <mergeCell ref="B64:J64"/>
    <mergeCell ref="B63:J63"/>
    <mergeCell ref="B62:J62"/>
    <mergeCell ref="B58:J58"/>
    <mergeCell ref="B57:J57"/>
    <mergeCell ref="B115:J115"/>
    <mergeCell ref="B113:J113"/>
    <mergeCell ref="B114:J114"/>
    <mergeCell ref="B9:J9"/>
    <mergeCell ref="B15:J15"/>
    <mergeCell ref="B13:K13"/>
    <mergeCell ref="B12:J12"/>
    <mergeCell ref="B112:J112"/>
    <mergeCell ref="B109:J109"/>
    <mergeCell ref="B16:J16"/>
    <mergeCell ref="B110:J110"/>
    <mergeCell ref="B111:J111"/>
    <mergeCell ref="B75:J75"/>
    <mergeCell ref="B105:J105"/>
    <mergeCell ref="B90:J90"/>
    <mergeCell ref="B81:J81"/>
    <mergeCell ref="B80:J80"/>
    <mergeCell ref="B11:J11"/>
    <mergeCell ref="B7:J7"/>
    <mergeCell ref="B8:J8"/>
    <mergeCell ref="B162:J162"/>
    <mergeCell ref="B121:J121"/>
    <mergeCell ref="B122:J122"/>
    <mergeCell ref="B130:J130"/>
    <mergeCell ref="B144:J144"/>
    <mergeCell ref="B139:J139"/>
    <mergeCell ref="B149:J149"/>
    <mergeCell ref="B140:J140"/>
    <mergeCell ref="B137:J137"/>
    <mergeCell ref="B133:J133"/>
    <mergeCell ref="B117:J117"/>
    <mergeCell ref="B146:J146"/>
    <mergeCell ref="B145:J145"/>
    <mergeCell ref="B138:J138"/>
    <mergeCell ref="B142:J142"/>
    <mergeCell ref="B141:J141"/>
    <mergeCell ref="B134:J134"/>
    <mergeCell ref="B120:J120"/>
    <mergeCell ref="B119:J119"/>
    <mergeCell ref="B118:J118"/>
    <mergeCell ref="B116:J116"/>
    <mergeCell ref="B18:J18"/>
    <mergeCell ref="B66:J66"/>
    <mergeCell ref="B53:J53"/>
    <mergeCell ref="B65:J65"/>
    <mergeCell ref="B60:J60"/>
    <mergeCell ref="B33:J33"/>
    <mergeCell ref="B43:J43"/>
    <mergeCell ref="B73:J73"/>
    <mergeCell ref="B41:J41"/>
    <mergeCell ref="B19:J19"/>
    <mergeCell ref="B30:J30"/>
    <mergeCell ref="B28:J28"/>
    <mergeCell ref="B48:J48"/>
    <mergeCell ref="B67:J67"/>
    <mergeCell ref="B71:J71"/>
    <mergeCell ref="B50:J50"/>
    <mergeCell ref="B56:J56"/>
    <mergeCell ref="B55:J55"/>
    <mergeCell ref="B54:J54"/>
    <mergeCell ref="B72:J72"/>
    <mergeCell ref="B51:J51"/>
    <mergeCell ref="B23:J23"/>
    <mergeCell ref="B24:J24"/>
    <mergeCell ref="B29:J29"/>
    <mergeCell ref="B21:J21"/>
    <mergeCell ref="B106:J106"/>
    <mergeCell ref="B87:J87"/>
    <mergeCell ref="B34:J34"/>
    <mergeCell ref="B37:J37"/>
    <mergeCell ref="B38:J38"/>
    <mergeCell ref="B39:J39"/>
    <mergeCell ref="B47:J47"/>
    <mergeCell ref="B42:J42"/>
    <mergeCell ref="B70:J70"/>
    <mergeCell ref="B31:J31"/>
    <mergeCell ref="B32:J32"/>
    <mergeCell ref="B68:J68"/>
    <mergeCell ref="B44:J44"/>
    <mergeCell ref="B45:J45"/>
    <mergeCell ref="B49:J49"/>
    <mergeCell ref="B69:J69"/>
    <mergeCell ref="B79:J79"/>
    <mergeCell ref="B100:F100"/>
    <mergeCell ref="B85:J85"/>
    <mergeCell ref="B82:J82"/>
    <mergeCell ref="B46:J46"/>
    <mergeCell ref="B99:F99"/>
    <mergeCell ref="B95:F95"/>
    <mergeCell ref="B96:F96"/>
    <mergeCell ref="B97:F97"/>
    <mergeCell ref="B40:J40"/>
    <mergeCell ref="B35:J35"/>
    <mergeCell ref="B104:J104"/>
    <mergeCell ref="B103:J103"/>
    <mergeCell ref="B89:J89"/>
    <mergeCell ref="B94:J94"/>
    <mergeCell ref="B102:J102"/>
    <mergeCell ref="B76:J76"/>
    <mergeCell ref="B91:J91"/>
    <mergeCell ref="B77:J77"/>
    <mergeCell ref="B78:J78"/>
    <mergeCell ref="B74:J74"/>
    <mergeCell ref="B98:F98"/>
    <mergeCell ref="B84:J84"/>
    <mergeCell ref="B185:D185"/>
    <mergeCell ref="B59:J59"/>
    <mergeCell ref="B88:J88"/>
    <mergeCell ref="B93:J93"/>
    <mergeCell ref="B92:J92"/>
    <mergeCell ref="B83:J83"/>
    <mergeCell ref="B425:F425"/>
    <mergeCell ref="B158:J158"/>
    <mergeCell ref="B163:J163"/>
    <mergeCell ref="B165:J165"/>
    <mergeCell ref="B167:J167"/>
    <mergeCell ref="B108:J108"/>
    <mergeCell ref="B150:J150"/>
    <mergeCell ref="B151:J151"/>
    <mergeCell ref="B143:J143"/>
    <mergeCell ref="B135:J135"/>
    <mergeCell ref="B148:J148"/>
    <mergeCell ref="B147:J147"/>
    <mergeCell ref="B136:J136"/>
    <mergeCell ref="B132:J132"/>
    <mergeCell ref="B156:J156"/>
    <mergeCell ref="B152:J152"/>
  </mergeCells>
  <phoneticPr fontId="36" type="noConversion"/>
  <pageMargins left="0.7" right="0.25" top="0.36" bottom="0.66" header="0.28999999999999998" footer="0.25"/>
  <pageSetup paperSize="9" scale="96" firstPageNumber="12" orientation="portrait" useFirstPageNumber="1" horizontalDpi="300" verticalDpi="300" r:id="rId1"/>
  <headerFooter alignWithMargins="0">
    <oddFooter>&amp;C
&amp;P</oddFooter>
  </headerFooter>
  <rowBreaks count="4" manualBreakCount="4">
    <brk id="73" max="9" man="1"/>
    <brk id="101" max="9" man="1"/>
    <brk id="169" max="16383" man="1"/>
    <brk id="229" max="9" man="1"/>
  </rowBreaks>
</worksheet>
</file>

<file path=xl/worksheets/sheet45.xml><?xml version="1.0" encoding="utf-8"?>
<worksheet xmlns="http://schemas.openxmlformats.org/spreadsheetml/2006/main" xmlns:r="http://schemas.openxmlformats.org/officeDocument/2006/relationships">
  <sheetPr codeName="Sheet15" enableFormatConditionsCalculation="0">
    <tabColor indexed="14"/>
  </sheetPr>
  <dimension ref="A1:R155"/>
  <sheetViews>
    <sheetView topLeftCell="A13" workbookViewId="0">
      <selection activeCell="E20" sqref="E20"/>
    </sheetView>
  </sheetViews>
  <sheetFormatPr defaultRowHeight="18" customHeight="1"/>
  <cols>
    <col min="1" max="1" width="3" style="531" customWidth="1"/>
    <col min="2" max="2" width="32.375" style="532" customWidth="1"/>
    <col min="3" max="3" width="16.875" style="533" customWidth="1"/>
    <col min="4" max="4" width="19.375" style="533" customWidth="1"/>
    <col min="5" max="5" width="18.875" style="533" customWidth="1"/>
    <col min="6" max="6" width="18.25" style="533" customWidth="1"/>
    <col min="7" max="7" width="16.75" style="533" hidden="1" customWidth="1"/>
    <col min="8" max="8" width="14.125" style="551" hidden="1" customWidth="1"/>
    <col min="9" max="9" width="21.25" style="536" customWidth="1"/>
    <col min="10" max="10" width="17.875" style="551" customWidth="1"/>
    <col min="11" max="11" width="13" style="551" customWidth="1"/>
    <col min="12" max="12" width="14.5" style="558" bestFit="1" customWidth="1"/>
    <col min="13" max="13" width="14.25" style="558" bestFit="1" customWidth="1"/>
    <col min="14" max="14" width="14.25" style="536" bestFit="1" customWidth="1"/>
    <col min="15" max="15" width="18.5" style="531" customWidth="1"/>
    <col min="16" max="16384" width="9" style="531"/>
  </cols>
  <sheetData>
    <row r="1" spans="1:18" s="149" customFormat="1" ht="21" customHeight="1">
      <c r="A1" s="1290" t="str">
        <f>BS!A1</f>
        <v>C«ng ty Cæ phÇn §Çu t­ &amp; Th­¬ng m¹i DÇu KhÝ S«ng §µ</v>
      </c>
      <c r="H1" s="150"/>
      <c r="L1" s="518"/>
      <c r="M1" s="157"/>
      <c r="N1" s="157"/>
      <c r="O1" s="157"/>
      <c r="P1" s="157"/>
      <c r="Q1" s="157"/>
      <c r="R1" s="518"/>
    </row>
    <row r="2" spans="1:18" s="151" customFormat="1" ht="18" customHeight="1">
      <c r="A2" s="1170" t="str">
        <f>BS!A2</f>
        <v>§Þa chØ: TÇng 4, CT3, tßa nhµ Fodacon, ®­êng TrÇn Phó</v>
      </c>
      <c r="H2" s="152"/>
      <c r="I2" s="1553" t="s">
        <v>1227</v>
      </c>
      <c r="L2" s="519"/>
      <c r="M2" s="155"/>
      <c r="N2" s="155"/>
      <c r="O2" s="155"/>
      <c r="P2" s="155"/>
      <c r="Q2" s="155"/>
      <c r="R2" s="519"/>
    </row>
    <row r="3" spans="1:18" s="151" customFormat="1" ht="18" customHeight="1">
      <c r="A3" s="1279" t="s">
        <v>887</v>
      </c>
      <c r="B3" s="153"/>
      <c r="C3" s="153"/>
      <c r="D3" s="153"/>
      <c r="E3" s="153"/>
      <c r="F3" s="153"/>
      <c r="G3" s="153"/>
      <c r="H3" s="154"/>
      <c r="I3" s="1554" t="str">
        <f>BS!N3</f>
        <v>Gi÷a niªn ®é kÕt thóc ngµy 30/06/2013</v>
      </c>
      <c r="L3" s="519"/>
      <c r="M3" s="155"/>
      <c r="N3" s="155"/>
      <c r="O3" s="155"/>
      <c r="P3" s="155"/>
      <c r="Q3" s="155"/>
      <c r="R3" s="519"/>
    </row>
    <row r="4" spans="1:18" ht="18" customHeight="1">
      <c r="H4" s="534"/>
      <c r="I4" s="534"/>
      <c r="J4" s="534"/>
      <c r="K4" s="534"/>
      <c r="L4" s="535"/>
      <c r="M4" s="535"/>
    </row>
    <row r="5" spans="1:18" ht="18" customHeight="1">
      <c r="B5" s="537" t="s">
        <v>317</v>
      </c>
      <c r="H5" s="534"/>
      <c r="I5" s="534"/>
      <c r="J5" s="534"/>
      <c r="K5" s="534"/>
      <c r="L5" s="535"/>
      <c r="M5" s="535"/>
    </row>
    <row r="6" spans="1:18" s="149" customFormat="1" ht="33.75" customHeight="1">
      <c r="B6" s="538" t="s">
        <v>1681</v>
      </c>
      <c r="C6" s="539" t="s">
        <v>1686</v>
      </c>
      <c r="D6" s="539" t="s">
        <v>1687</v>
      </c>
      <c r="E6" s="539" t="s">
        <v>1688</v>
      </c>
      <c r="F6" s="539" t="s">
        <v>379</v>
      </c>
      <c r="G6" s="539" t="s">
        <v>1391</v>
      </c>
      <c r="H6" s="539" t="s">
        <v>1690</v>
      </c>
      <c r="I6" s="539" t="s">
        <v>1685</v>
      </c>
      <c r="J6" s="540" t="s">
        <v>246</v>
      </c>
      <c r="K6" s="540"/>
      <c r="L6" s="525"/>
      <c r="M6" s="525"/>
      <c r="N6" s="518"/>
    </row>
    <row r="7" spans="1:18" s="541" customFormat="1" ht="22.5" customHeight="1">
      <c r="B7" s="542" t="s">
        <v>230</v>
      </c>
      <c r="C7" s="1039"/>
      <c r="D7" s="1039"/>
      <c r="E7" s="1039"/>
      <c r="F7" s="1039"/>
      <c r="G7" s="543"/>
      <c r="H7" s="543"/>
      <c r="I7" s="544"/>
      <c r="J7" s="534"/>
      <c r="K7" s="534"/>
      <c r="L7" s="535"/>
      <c r="M7" s="535"/>
      <c r="N7" s="536"/>
    </row>
    <row r="8" spans="1:18" s="541" customFormat="1" ht="22.5" customHeight="1">
      <c r="B8" s="545" t="s">
        <v>1684</v>
      </c>
      <c r="C8" s="1147">
        <v>9559616132</v>
      </c>
      <c r="D8" s="1147">
        <v>57806316781</v>
      </c>
      <c r="E8" s="1147">
        <v>6252491461</v>
      </c>
      <c r="F8" s="1147">
        <v>536936565</v>
      </c>
      <c r="G8" s="546"/>
      <c r="H8" s="546">
        <v>0</v>
      </c>
      <c r="I8" s="546">
        <f t="shared" ref="I8:I14" si="0">SUM(C8:H8)</f>
        <v>74155360939</v>
      </c>
      <c r="J8" s="534">
        <f>I8-BS!N46</f>
        <v>0</v>
      </c>
      <c r="K8" s="534"/>
      <c r="L8" s="535"/>
      <c r="M8" s="535"/>
      <c r="N8" s="536"/>
    </row>
    <row r="9" spans="1:18" ht="17.25" customHeight="1">
      <c r="B9" s="547" t="s">
        <v>249</v>
      </c>
      <c r="C9" s="548"/>
      <c r="D9" s="548"/>
      <c r="E9" s="548"/>
      <c r="F9" s="548"/>
      <c r="G9" s="548"/>
      <c r="H9" s="548">
        <v>0</v>
      </c>
      <c r="I9" s="546">
        <f t="shared" si="0"/>
        <v>0</v>
      </c>
      <c r="J9" s="549"/>
      <c r="K9" s="549"/>
      <c r="L9" s="550"/>
      <c r="M9" s="550"/>
      <c r="N9" s="551"/>
    </row>
    <row r="10" spans="1:18" ht="17.25" customHeight="1">
      <c r="B10" s="547" t="s">
        <v>231</v>
      </c>
      <c r="C10" s="548"/>
      <c r="D10" s="548"/>
      <c r="E10" s="548"/>
      <c r="F10" s="548"/>
      <c r="G10" s="548">
        <v>0</v>
      </c>
      <c r="H10" s="548">
        <v>0</v>
      </c>
      <c r="I10" s="546">
        <f t="shared" si="0"/>
        <v>0</v>
      </c>
      <c r="J10" s="549"/>
      <c r="K10" s="549"/>
      <c r="L10" s="550"/>
      <c r="M10" s="550"/>
      <c r="N10" s="551"/>
    </row>
    <row r="11" spans="1:18" ht="17.25" customHeight="1">
      <c r="B11" s="547" t="s">
        <v>232</v>
      </c>
      <c r="C11" s="548">
        <v>0</v>
      </c>
      <c r="D11" s="548">
        <v>0</v>
      </c>
      <c r="E11" s="548">
        <v>0</v>
      </c>
      <c r="F11" s="548">
        <v>0</v>
      </c>
      <c r="G11" s="548">
        <v>0</v>
      </c>
      <c r="H11" s="548">
        <v>0</v>
      </c>
      <c r="I11" s="546">
        <f>SUM(C11:H11)</f>
        <v>0</v>
      </c>
      <c r="J11" s="549"/>
      <c r="K11" s="549"/>
      <c r="L11" s="550"/>
      <c r="M11" s="550"/>
      <c r="N11" s="551"/>
    </row>
    <row r="12" spans="1:18" ht="17.25" customHeight="1">
      <c r="B12" s="547" t="s">
        <v>233</v>
      </c>
      <c r="C12" s="548"/>
      <c r="D12" s="548"/>
      <c r="E12" s="548"/>
      <c r="F12" s="548"/>
      <c r="G12" s="548">
        <v>0</v>
      </c>
      <c r="H12" s="548">
        <v>0</v>
      </c>
      <c r="I12" s="546">
        <f t="shared" si="0"/>
        <v>0</v>
      </c>
      <c r="J12" s="549"/>
      <c r="K12" s="549"/>
      <c r="L12" s="550"/>
      <c r="M12" s="550"/>
      <c r="N12" s="551"/>
    </row>
    <row r="13" spans="1:18" ht="17.25" customHeight="1">
      <c r="B13" s="547" t="s">
        <v>234</v>
      </c>
      <c r="C13" s="548"/>
      <c r="D13" s="548"/>
      <c r="E13" s="548"/>
      <c r="F13" s="548"/>
      <c r="G13" s="548">
        <v>0</v>
      </c>
      <c r="H13" s="548">
        <v>0</v>
      </c>
      <c r="I13" s="546">
        <f t="shared" si="0"/>
        <v>0</v>
      </c>
      <c r="J13" s="549"/>
      <c r="K13" s="549"/>
      <c r="L13" s="550"/>
      <c r="M13" s="550"/>
      <c r="N13" s="551"/>
    </row>
    <row r="14" spans="1:18" ht="17.25" customHeight="1">
      <c r="B14" s="547" t="s">
        <v>235</v>
      </c>
      <c r="C14" s="533">
        <v>0</v>
      </c>
      <c r="D14" s="548">
        <v>0</v>
      </c>
      <c r="E14" s="548">
        <v>0</v>
      </c>
      <c r="F14" s="548">
        <v>0</v>
      </c>
      <c r="G14" s="548">
        <v>0</v>
      </c>
      <c r="H14" s="548">
        <v>0</v>
      </c>
      <c r="I14" s="546">
        <f t="shared" si="0"/>
        <v>0</v>
      </c>
      <c r="J14" s="549"/>
      <c r="K14" s="549"/>
      <c r="L14" s="550"/>
      <c r="M14" s="550"/>
      <c r="N14" s="551"/>
    </row>
    <row r="15" spans="1:18" s="541" customFormat="1" ht="22.5" customHeight="1">
      <c r="B15" s="545" t="s">
        <v>1682</v>
      </c>
      <c r="C15" s="546">
        <f>C8+C9+C10+C11-C12-C13-C14</f>
        <v>9559616132</v>
      </c>
      <c r="D15" s="546">
        <f t="shared" ref="D15:I15" si="1">D8+D9+D10+D11-D12-D13-D14</f>
        <v>57806316781</v>
      </c>
      <c r="E15" s="546">
        <f t="shared" si="1"/>
        <v>6252491461</v>
      </c>
      <c r="F15" s="546">
        <f t="shared" si="1"/>
        <v>536936565</v>
      </c>
      <c r="G15" s="546">
        <f t="shared" si="1"/>
        <v>0</v>
      </c>
      <c r="H15" s="546">
        <f t="shared" si="1"/>
        <v>0</v>
      </c>
      <c r="I15" s="546">
        <f t="shared" si="1"/>
        <v>74155360939</v>
      </c>
      <c r="J15" s="534">
        <f>I15-BS!L46</f>
        <v>0</v>
      </c>
      <c r="K15" s="534"/>
      <c r="L15" s="535"/>
      <c r="M15" s="535"/>
      <c r="N15" s="536"/>
    </row>
    <row r="16" spans="1:18" s="541" customFormat="1" ht="22.5" customHeight="1">
      <c r="B16" s="552" t="s">
        <v>1683</v>
      </c>
      <c r="C16" s="553"/>
      <c r="D16" s="553"/>
      <c r="E16" s="553"/>
      <c r="F16" s="553"/>
      <c r="G16" s="553"/>
      <c r="H16" s="553"/>
      <c r="I16" s="554"/>
      <c r="J16" s="534"/>
      <c r="K16" s="534"/>
      <c r="L16" s="535"/>
      <c r="M16" s="535"/>
      <c r="N16" s="536"/>
    </row>
    <row r="17" spans="2:14" s="541" customFormat="1" ht="22.5" customHeight="1">
      <c r="B17" s="545" t="s">
        <v>1684</v>
      </c>
      <c r="C17" s="546">
        <v>2533788847</v>
      </c>
      <c r="D17" s="546">
        <v>9145658871</v>
      </c>
      <c r="E17" s="546">
        <v>3152833183</v>
      </c>
      <c r="F17" s="546">
        <v>431738839</v>
      </c>
      <c r="G17" s="546"/>
      <c r="H17" s="546">
        <v>0</v>
      </c>
      <c r="I17" s="546">
        <f t="shared" ref="I17:I22" si="2">SUM(C17:H17)</f>
        <v>15264019740</v>
      </c>
      <c r="J17" s="534">
        <f>I17+BS!N47</f>
        <v>0</v>
      </c>
      <c r="K17" s="534"/>
      <c r="L17" s="535"/>
      <c r="M17" s="535"/>
      <c r="N17" s="536"/>
    </row>
    <row r="18" spans="2:14" ht="17.25" customHeight="1">
      <c r="B18" s="547" t="s">
        <v>251</v>
      </c>
      <c r="C18" s="548">
        <f>132177900+96089542</f>
        <v>228267442</v>
      </c>
      <c r="D18" s="548">
        <f>1513033345+1718837388</f>
        <v>3231870733</v>
      </c>
      <c r="E18" s="548">
        <f>197106823+500163408</f>
        <v>697270231</v>
      </c>
      <c r="F18" s="548">
        <f>24722824+17776165</f>
        <v>42498989</v>
      </c>
      <c r="G18" s="548"/>
      <c r="H18" s="548">
        <v>0</v>
      </c>
      <c r="I18" s="546">
        <f t="shared" si="2"/>
        <v>4199907395</v>
      </c>
      <c r="J18" s="549"/>
      <c r="K18" s="549"/>
      <c r="L18" s="550"/>
      <c r="M18" s="550"/>
      <c r="N18" s="551"/>
    </row>
    <row r="19" spans="2:14" ht="17.25" customHeight="1">
      <c r="B19" s="547" t="s">
        <v>232</v>
      </c>
      <c r="C19" s="548">
        <v>0</v>
      </c>
      <c r="D19" s="533">
        <v>0</v>
      </c>
      <c r="E19" s="548">
        <v>0</v>
      </c>
      <c r="F19" s="548"/>
      <c r="G19" s="548"/>
      <c r="H19" s="548">
        <v>0</v>
      </c>
      <c r="I19" s="546">
        <f t="shared" si="2"/>
        <v>0</v>
      </c>
      <c r="J19" s="549"/>
      <c r="K19" s="549"/>
      <c r="L19" s="550"/>
      <c r="M19" s="550"/>
      <c r="N19" s="551"/>
    </row>
    <row r="20" spans="2:14" ht="17.25" customHeight="1">
      <c r="B20" s="547" t="s">
        <v>233</v>
      </c>
      <c r="C20" s="548"/>
      <c r="D20" s="548"/>
      <c r="E20" s="548"/>
      <c r="F20" s="548"/>
      <c r="G20" s="548">
        <v>0</v>
      </c>
      <c r="H20" s="548">
        <v>0</v>
      </c>
      <c r="I20" s="546">
        <f t="shared" si="2"/>
        <v>0</v>
      </c>
      <c r="J20" s="549"/>
      <c r="K20" s="549"/>
      <c r="L20" s="550"/>
      <c r="M20" s="550"/>
      <c r="N20" s="551"/>
    </row>
    <row r="21" spans="2:14" ht="17.25" customHeight="1">
      <c r="B21" s="547" t="s">
        <v>234</v>
      </c>
      <c r="C21" s="548"/>
      <c r="D21" s="548">
        <v>0</v>
      </c>
      <c r="E21" s="548">
        <v>0</v>
      </c>
      <c r="F21" s="548">
        <v>0</v>
      </c>
      <c r="G21" s="548">
        <v>0</v>
      </c>
      <c r="H21" s="548">
        <v>0</v>
      </c>
      <c r="I21" s="546">
        <v>0</v>
      </c>
      <c r="J21" s="549"/>
      <c r="K21" s="549"/>
      <c r="L21" s="550"/>
      <c r="M21" s="550"/>
      <c r="N21" s="551"/>
    </row>
    <row r="22" spans="2:14" ht="17.25" customHeight="1">
      <c r="B22" s="547" t="s">
        <v>235</v>
      </c>
      <c r="C22" s="548">
        <v>0</v>
      </c>
      <c r="D22" s="533">
        <v>0</v>
      </c>
      <c r="E22" s="548">
        <v>0</v>
      </c>
      <c r="F22" s="548"/>
      <c r="G22" s="548">
        <v>0</v>
      </c>
      <c r="H22" s="548">
        <v>0</v>
      </c>
      <c r="I22" s="546">
        <f t="shared" si="2"/>
        <v>0</v>
      </c>
      <c r="J22" s="549"/>
      <c r="K22" s="549"/>
      <c r="L22" s="550"/>
      <c r="M22" s="550"/>
      <c r="N22" s="551"/>
    </row>
    <row r="23" spans="2:14" s="541" customFormat="1" ht="22.5" customHeight="1">
      <c r="B23" s="545" t="s">
        <v>1682</v>
      </c>
      <c r="C23" s="546">
        <f t="shared" ref="C23:I23" si="3">C17+C18-C20-C21-C22+C19</f>
        <v>2762056289</v>
      </c>
      <c r="D23" s="546">
        <f>D17+D18+D19-D21</f>
        <v>12377529604</v>
      </c>
      <c r="E23" s="546">
        <f t="shared" si="3"/>
        <v>3850103414</v>
      </c>
      <c r="F23" s="546">
        <f t="shared" si="3"/>
        <v>474237828</v>
      </c>
      <c r="G23" s="546">
        <f t="shared" si="3"/>
        <v>0</v>
      </c>
      <c r="H23" s="546">
        <f t="shared" si="3"/>
        <v>0</v>
      </c>
      <c r="I23" s="546">
        <f t="shared" si="3"/>
        <v>19463927135</v>
      </c>
      <c r="J23" s="534">
        <f>I23+BS!L47</f>
        <v>0</v>
      </c>
      <c r="K23" s="534"/>
      <c r="L23" s="535"/>
      <c r="M23" s="535"/>
      <c r="N23" s="536"/>
    </row>
    <row r="24" spans="2:14" s="541" customFormat="1" ht="22.5" customHeight="1">
      <c r="B24" s="552" t="s">
        <v>236</v>
      </c>
      <c r="C24" s="553"/>
      <c r="D24" s="553"/>
      <c r="E24" s="553"/>
      <c r="F24" s="553"/>
      <c r="G24" s="553"/>
      <c r="H24" s="553"/>
      <c r="I24" s="554"/>
      <c r="J24" s="534"/>
      <c r="K24" s="534"/>
      <c r="L24" s="535"/>
      <c r="M24" s="535"/>
      <c r="N24" s="536"/>
    </row>
    <row r="25" spans="2:14" s="1544" customFormat="1" ht="17.25" customHeight="1">
      <c r="B25" s="545" t="s">
        <v>237</v>
      </c>
      <c r="C25" s="546">
        <f t="shared" ref="C25:I25" si="4">C8-C17</f>
        <v>7025827285</v>
      </c>
      <c r="D25" s="546">
        <f t="shared" si="4"/>
        <v>48660657910</v>
      </c>
      <c r="E25" s="546">
        <f t="shared" si="4"/>
        <v>3099658278</v>
      </c>
      <c r="F25" s="546">
        <f t="shared" si="4"/>
        <v>105197726</v>
      </c>
      <c r="G25" s="546">
        <f t="shared" si="4"/>
        <v>0</v>
      </c>
      <c r="H25" s="546">
        <f t="shared" si="4"/>
        <v>0</v>
      </c>
      <c r="I25" s="546">
        <f t="shared" si="4"/>
        <v>58891341199</v>
      </c>
      <c r="J25" s="534">
        <f>I25-BS!N45</f>
        <v>0</v>
      </c>
      <c r="K25" s="534"/>
      <c r="L25" s="535"/>
      <c r="M25" s="535"/>
      <c r="N25" s="1543"/>
    </row>
    <row r="26" spans="2:14" s="1544" customFormat="1" ht="17.25" customHeight="1">
      <c r="B26" s="1545" t="s">
        <v>1575</v>
      </c>
      <c r="C26" s="1546">
        <f t="shared" ref="C26:I26" si="5">C15-C23</f>
        <v>6797559843</v>
      </c>
      <c r="D26" s="1546">
        <f t="shared" si="5"/>
        <v>45428787177</v>
      </c>
      <c r="E26" s="1546">
        <f t="shared" si="5"/>
        <v>2402388047</v>
      </c>
      <c r="F26" s="1546">
        <f>F15-F23</f>
        <v>62698737</v>
      </c>
      <c r="G26" s="1546">
        <f>G15-G23</f>
        <v>0</v>
      </c>
      <c r="H26" s="1546">
        <f t="shared" si="5"/>
        <v>0</v>
      </c>
      <c r="I26" s="1546">
        <f t="shared" si="5"/>
        <v>54691433804</v>
      </c>
      <c r="J26" s="534">
        <f>I26-BS!L45</f>
        <v>0</v>
      </c>
      <c r="K26" s="534"/>
      <c r="L26" s="535"/>
      <c r="M26" s="535"/>
      <c r="N26" s="1543"/>
    </row>
    <row r="27" spans="2:14" ht="18" hidden="1" customHeight="1">
      <c r="B27" s="537"/>
      <c r="H27" s="534"/>
      <c r="I27" s="534"/>
      <c r="J27" s="534"/>
      <c r="K27" s="534"/>
      <c r="L27" s="535"/>
      <c r="M27" s="535"/>
    </row>
    <row r="28" spans="2:14" ht="18" hidden="1" customHeight="1">
      <c r="B28" s="537" t="s">
        <v>1346</v>
      </c>
      <c r="H28" s="534"/>
      <c r="I28" s="534"/>
      <c r="J28" s="534"/>
      <c r="K28" s="534"/>
      <c r="L28" s="535"/>
      <c r="M28" s="535"/>
    </row>
    <row r="29" spans="2:14" s="149" customFormat="1" ht="33.75" hidden="1" customHeight="1">
      <c r="B29" s="538" t="s">
        <v>1681</v>
      </c>
      <c r="C29" s="539" t="s">
        <v>1686</v>
      </c>
      <c r="D29" s="539" t="s">
        <v>1687</v>
      </c>
      <c r="E29" s="539" t="s">
        <v>1688</v>
      </c>
      <c r="F29" s="539" t="s">
        <v>1689</v>
      </c>
      <c r="G29" s="539" t="s">
        <v>1391</v>
      </c>
      <c r="H29" s="539" t="s">
        <v>1690</v>
      </c>
      <c r="I29" s="539" t="s">
        <v>1685</v>
      </c>
      <c r="J29" s="540" t="s">
        <v>246</v>
      </c>
      <c r="K29" s="540"/>
      <c r="L29" s="525"/>
      <c r="M29" s="525"/>
      <c r="N29" s="518"/>
    </row>
    <row r="30" spans="2:14" s="541" customFormat="1" ht="22.5" hidden="1" customHeight="1">
      <c r="B30" s="542" t="s">
        <v>230</v>
      </c>
      <c r="C30" s="543"/>
      <c r="D30" s="543"/>
      <c r="E30" s="543"/>
      <c r="F30" s="543"/>
      <c r="G30" s="543"/>
      <c r="H30" s="543"/>
      <c r="I30" s="544"/>
      <c r="J30" s="534"/>
      <c r="K30" s="534"/>
      <c r="L30" s="535"/>
      <c r="M30" s="535"/>
      <c r="N30" s="536"/>
    </row>
    <row r="31" spans="2:14" s="541" customFormat="1" ht="22.5" hidden="1" customHeight="1">
      <c r="B31" s="545" t="s">
        <v>1684</v>
      </c>
      <c r="C31" s="546">
        <v>0</v>
      </c>
      <c r="D31" s="546">
        <v>0</v>
      </c>
      <c r="E31" s="546">
        <v>0</v>
      </c>
      <c r="F31" s="546">
        <v>0</v>
      </c>
      <c r="G31" s="546"/>
      <c r="H31" s="546">
        <v>0</v>
      </c>
      <c r="I31" s="546">
        <f t="shared" ref="I31:I36" si="6">SUM(C31:H31)</f>
        <v>0</v>
      </c>
      <c r="J31" s="534">
        <f>I31-BS!N69</f>
        <v>0</v>
      </c>
      <c r="K31" s="534"/>
      <c r="L31" s="535"/>
      <c r="M31" s="535"/>
      <c r="N31" s="536"/>
    </row>
    <row r="32" spans="2:14" ht="17.25" hidden="1" customHeight="1">
      <c r="B32" s="547" t="s">
        <v>1347</v>
      </c>
      <c r="C32" s="548"/>
      <c r="D32" s="548"/>
      <c r="E32" s="548"/>
      <c r="F32" s="548"/>
      <c r="G32" s="548"/>
      <c r="H32" s="548"/>
      <c r="I32" s="546">
        <f t="shared" si="6"/>
        <v>0</v>
      </c>
      <c r="J32" s="549"/>
      <c r="K32" s="549"/>
      <c r="L32" s="550"/>
      <c r="M32" s="550"/>
      <c r="N32" s="551"/>
    </row>
    <row r="33" spans="2:14" ht="17.25" hidden="1" customHeight="1">
      <c r="B33" s="547" t="s">
        <v>1348</v>
      </c>
      <c r="C33" s="548"/>
      <c r="D33" s="548"/>
      <c r="E33" s="548"/>
      <c r="F33" s="548"/>
      <c r="G33" s="548"/>
      <c r="H33" s="548"/>
      <c r="I33" s="546">
        <f t="shared" si="6"/>
        <v>0</v>
      </c>
      <c r="J33" s="549"/>
      <c r="K33" s="549"/>
      <c r="L33" s="550"/>
      <c r="M33" s="550"/>
      <c r="N33" s="551"/>
    </row>
    <row r="34" spans="2:14" ht="17.25" hidden="1" customHeight="1">
      <c r="B34" s="547" t="s">
        <v>232</v>
      </c>
      <c r="C34" s="548"/>
      <c r="D34" s="548"/>
      <c r="E34" s="548"/>
      <c r="F34" s="548"/>
      <c r="G34" s="548"/>
      <c r="H34" s="548"/>
      <c r="I34" s="546">
        <f t="shared" si="6"/>
        <v>0</v>
      </c>
      <c r="J34" s="549"/>
      <c r="K34" s="549"/>
      <c r="L34" s="550"/>
      <c r="M34" s="550"/>
      <c r="N34" s="551"/>
    </row>
    <row r="35" spans="2:14" ht="17.25" hidden="1" customHeight="1">
      <c r="B35" s="547" t="s">
        <v>1349</v>
      </c>
      <c r="C35" s="548"/>
      <c r="D35" s="548"/>
      <c r="E35" s="548"/>
      <c r="F35" s="548"/>
      <c r="G35" s="548"/>
      <c r="H35" s="548"/>
      <c r="I35" s="546">
        <f t="shared" si="6"/>
        <v>0</v>
      </c>
      <c r="J35" s="549"/>
      <c r="K35" s="549"/>
      <c r="L35" s="550"/>
      <c r="M35" s="550"/>
      <c r="N35" s="551"/>
    </row>
    <row r="36" spans="2:14" ht="17.25" hidden="1" customHeight="1">
      <c r="B36" s="547" t="s">
        <v>235</v>
      </c>
      <c r="C36" s="548"/>
      <c r="D36" s="548"/>
      <c r="E36" s="548"/>
      <c r="F36" s="548"/>
      <c r="G36" s="548"/>
      <c r="H36" s="548"/>
      <c r="I36" s="546">
        <f t="shared" si="6"/>
        <v>0</v>
      </c>
      <c r="J36" s="549"/>
      <c r="K36" s="549"/>
      <c r="L36" s="550"/>
      <c r="M36" s="550"/>
      <c r="N36" s="551"/>
    </row>
    <row r="37" spans="2:14" s="541" customFormat="1" ht="22.5" hidden="1" customHeight="1">
      <c r="B37" s="545" t="s">
        <v>1682</v>
      </c>
      <c r="C37" s="546">
        <f>C31+C32+C33+C34-C35-C36</f>
        <v>0</v>
      </c>
      <c r="D37" s="546">
        <f t="shared" ref="D37:I37" si="7">D31+D32+D33+D34-D35-D36</f>
        <v>0</v>
      </c>
      <c r="E37" s="546">
        <f t="shared" si="7"/>
        <v>0</v>
      </c>
      <c r="F37" s="546">
        <f t="shared" si="7"/>
        <v>0</v>
      </c>
      <c r="G37" s="546">
        <f t="shared" si="7"/>
        <v>0</v>
      </c>
      <c r="H37" s="546">
        <f t="shared" si="7"/>
        <v>0</v>
      </c>
      <c r="I37" s="546">
        <f t="shared" si="7"/>
        <v>0</v>
      </c>
      <c r="J37" s="534">
        <f>I37-BS!L69</f>
        <v>0</v>
      </c>
      <c r="K37" s="534"/>
      <c r="L37" s="535"/>
      <c r="M37" s="535"/>
      <c r="N37" s="536"/>
    </row>
    <row r="38" spans="2:14" s="541" customFormat="1" ht="22.5" hidden="1" customHeight="1">
      <c r="B38" s="552" t="s">
        <v>1683</v>
      </c>
      <c r="C38" s="553"/>
      <c r="D38" s="553"/>
      <c r="E38" s="553"/>
      <c r="F38" s="553"/>
      <c r="G38" s="553"/>
      <c r="H38" s="553"/>
      <c r="I38" s="554"/>
      <c r="J38" s="534"/>
      <c r="K38" s="534"/>
      <c r="L38" s="535"/>
      <c r="M38" s="535"/>
      <c r="N38" s="536"/>
    </row>
    <row r="39" spans="2:14" s="541" customFormat="1" ht="22.5" hidden="1" customHeight="1">
      <c r="B39" s="545" t="s">
        <v>1684</v>
      </c>
      <c r="C39" s="548">
        <v>0</v>
      </c>
      <c r="D39" s="546">
        <v>0</v>
      </c>
      <c r="E39" s="546">
        <v>0</v>
      </c>
      <c r="F39" s="546">
        <v>0</v>
      </c>
      <c r="G39" s="546"/>
      <c r="H39" s="546">
        <v>0</v>
      </c>
      <c r="I39" s="546">
        <f t="shared" ref="I39:I44" si="8">SUM(C39:H39)</f>
        <v>0</v>
      </c>
      <c r="J39" s="534" t="e">
        <f>I39+BS!#REF!</f>
        <v>#REF!</v>
      </c>
      <c r="K39" s="534"/>
      <c r="L39" s="535"/>
      <c r="M39" s="535"/>
      <c r="N39" s="536"/>
    </row>
    <row r="40" spans="2:14" ht="17.25" hidden="1" customHeight="1">
      <c r="B40" s="547" t="s">
        <v>251</v>
      </c>
      <c r="C40" s="548"/>
      <c r="D40" s="548"/>
      <c r="E40" s="548"/>
      <c r="F40" s="548"/>
      <c r="G40" s="548"/>
      <c r="H40" s="548"/>
      <c r="I40" s="546">
        <f t="shared" si="8"/>
        <v>0</v>
      </c>
      <c r="J40" s="549"/>
      <c r="K40" s="549"/>
      <c r="L40" s="550"/>
      <c r="M40" s="550"/>
      <c r="N40" s="551"/>
    </row>
    <row r="41" spans="2:14" ht="17.25" hidden="1" customHeight="1">
      <c r="B41" s="547" t="s">
        <v>1348</v>
      </c>
      <c r="C41" s="548"/>
      <c r="D41" s="548"/>
      <c r="E41" s="548"/>
      <c r="F41" s="548"/>
      <c r="G41" s="548"/>
      <c r="H41" s="548"/>
      <c r="I41" s="546">
        <f t="shared" si="8"/>
        <v>0</v>
      </c>
      <c r="J41" s="549"/>
      <c r="K41" s="549"/>
      <c r="L41" s="550"/>
      <c r="M41" s="550"/>
      <c r="N41" s="551"/>
    </row>
    <row r="42" spans="2:14" ht="17.25" hidden="1" customHeight="1">
      <c r="B42" s="547" t="s">
        <v>232</v>
      </c>
      <c r="C42" s="548"/>
      <c r="D42" s="548"/>
      <c r="E42" s="548"/>
      <c r="F42" s="548"/>
      <c r="G42" s="548"/>
      <c r="H42" s="548"/>
      <c r="I42" s="546">
        <f t="shared" si="8"/>
        <v>0</v>
      </c>
      <c r="J42" s="549"/>
      <c r="K42" s="549"/>
      <c r="L42" s="550"/>
      <c r="M42" s="550"/>
      <c r="N42" s="551"/>
    </row>
    <row r="43" spans="2:14" ht="17.25" hidden="1" customHeight="1">
      <c r="B43" s="547" t="s">
        <v>1349</v>
      </c>
      <c r="C43" s="548"/>
      <c r="D43" s="548"/>
      <c r="E43" s="548"/>
      <c r="F43" s="548"/>
      <c r="G43" s="548"/>
      <c r="H43" s="548"/>
      <c r="I43" s="546">
        <f t="shared" si="8"/>
        <v>0</v>
      </c>
      <c r="J43" s="549"/>
      <c r="K43" s="549"/>
      <c r="L43" s="550"/>
      <c r="M43" s="550"/>
      <c r="N43" s="551"/>
    </row>
    <row r="44" spans="2:14" ht="17.25" hidden="1" customHeight="1">
      <c r="B44" s="547" t="s">
        <v>235</v>
      </c>
      <c r="C44" s="548"/>
      <c r="D44" s="548"/>
      <c r="E44" s="548"/>
      <c r="F44" s="548"/>
      <c r="G44" s="548"/>
      <c r="H44" s="548"/>
      <c r="I44" s="546">
        <f t="shared" si="8"/>
        <v>0</v>
      </c>
      <c r="J44" s="549"/>
      <c r="K44" s="549"/>
      <c r="L44" s="550"/>
      <c r="M44" s="550"/>
      <c r="N44" s="551"/>
    </row>
    <row r="45" spans="2:14" s="541" customFormat="1" ht="22.5" hidden="1" customHeight="1">
      <c r="B45" s="545" t="s">
        <v>1353</v>
      </c>
      <c r="C45" s="546">
        <f t="shared" ref="C45:I45" si="9">C39+C40-C42-C43-C44+C41</f>
        <v>0</v>
      </c>
      <c r="D45" s="546">
        <f t="shared" si="9"/>
        <v>0</v>
      </c>
      <c r="E45" s="546">
        <f t="shared" si="9"/>
        <v>0</v>
      </c>
      <c r="F45" s="546">
        <f t="shared" si="9"/>
        <v>0</v>
      </c>
      <c r="G45" s="546">
        <f t="shared" si="9"/>
        <v>0</v>
      </c>
      <c r="H45" s="546">
        <f t="shared" si="9"/>
        <v>0</v>
      </c>
      <c r="I45" s="546">
        <f t="shared" si="9"/>
        <v>0</v>
      </c>
      <c r="J45" s="534" t="e">
        <f>I45+BS!#REF!</f>
        <v>#REF!</v>
      </c>
      <c r="K45" s="534"/>
      <c r="L45" s="535"/>
      <c r="M45" s="535"/>
      <c r="N45" s="536"/>
    </row>
    <row r="46" spans="2:14" s="541" customFormat="1" ht="22.5" hidden="1" customHeight="1">
      <c r="B46" s="552" t="s">
        <v>236</v>
      </c>
      <c r="C46" s="553"/>
      <c r="D46" s="553"/>
      <c r="E46" s="553"/>
      <c r="F46" s="553"/>
      <c r="G46" s="553"/>
      <c r="H46" s="553"/>
      <c r="I46" s="554"/>
      <c r="J46" s="534"/>
      <c r="K46" s="534"/>
      <c r="L46" s="535"/>
      <c r="M46" s="535"/>
      <c r="N46" s="536"/>
    </row>
    <row r="47" spans="2:14" ht="17.25" hidden="1" customHeight="1">
      <c r="B47" s="547" t="s">
        <v>237</v>
      </c>
      <c r="C47" s="548">
        <f t="shared" ref="C47:I47" si="10">C31-C39</f>
        <v>0</v>
      </c>
      <c r="D47" s="548">
        <f t="shared" si="10"/>
        <v>0</v>
      </c>
      <c r="E47" s="548">
        <f t="shared" si="10"/>
        <v>0</v>
      </c>
      <c r="F47" s="548">
        <f t="shared" si="10"/>
        <v>0</v>
      </c>
      <c r="G47" s="548">
        <f t="shared" si="10"/>
        <v>0</v>
      </c>
      <c r="H47" s="548">
        <f t="shared" si="10"/>
        <v>0</v>
      </c>
      <c r="I47" s="546">
        <f t="shared" si="10"/>
        <v>0</v>
      </c>
      <c r="J47" s="549">
        <f>I47-BS!N68</f>
        <v>0</v>
      </c>
      <c r="K47" s="549"/>
      <c r="L47" s="550"/>
      <c r="M47" s="550"/>
      <c r="N47" s="551"/>
    </row>
    <row r="48" spans="2:14" ht="17.25" hidden="1" customHeight="1">
      <c r="B48" s="555" t="s">
        <v>1352</v>
      </c>
      <c r="C48" s="556">
        <f t="shared" ref="C48:I48" si="11">C37-C45</f>
        <v>0</v>
      </c>
      <c r="D48" s="556">
        <f t="shared" si="11"/>
        <v>0</v>
      </c>
      <c r="E48" s="556">
        <f t="shared" si="11"/>
        <v>0</v>
      </c>
      <c r="F48" s="556">
        <f t="shared" si="11"/>
        <v>0</v>
      </c>
      <c r="G48" s="556">
        <f t="shared" si="11"/>
        <v>0</v>
      </c>
      <c r="H48" s="556">
        <f t="shared" si="11"/>
        <v>0</v>
      </c>
      <c r="I48" s="557">
        <f t="shared" si="11"/>
        <v>0</v>
      </c>
      <c r="J48" s="549">
        <f ca="1">I48-BS!L68</f>
        <v>0</v>
      </c>
      <c r="K48" s="549"/>
      <c r="L48" s="550"/>
      <c r="M48" s="550"/>
      <c r="N48" s="551"/>
    </row>
    <row r="51" spans="9:9" ht="18" customHeight="1">
      <c r="I51" s="536">
        <f>12911690246+8488865419</f>
        <v>21400555665</v>
      </c>
    </row>
    <row r="151" spans="8:8" ht="18" customHeight="1">
      <c r="H151" s="551">
        <v>10843009</v>
      </c>
    </row>
    <row r="152" spans="8:8" ht="18" customHeight="1">
      <c r="H152" s="551">
        <v>29961315</v>
      </c>
    </row>
    <row r="153" spans="8:8" ht="18" customHeight="1">
      <c r="H153" s="551">
        <v>10085465</v>
      </c>
    </row>
    <row r="154" spans="8:8" ht="18" customHeight="1">
      <c r="H154" s="551">
        <v>322394</v>
      </c>
    </row>
    <row r="155" spans="8:8" ht="18" customHeight="1">
      <c r="H155" s="551">
        <v>14433261</v>
      </c>
    </row>
  </sheetData>
  <phoneticPr fontId="36" type="noConversion"/>
  <pageMargins left="0.34" right="0.2" top="0.79" bottom="0.75" header="0.28999999999999998" footer="0.34"/>
  <pageSetup paperSize="9" firstPageNumber="23" orientation="landscape" useFirstPageNumber="1" r:id="rId1"/>
  <headerFooter alignWithMargins="0">
    <oddFooter>&amp;C
&amp;P</oddFooter>
  </headerFooter>
</worksheet>
</file>

<file path=xl/worksheets/sheet46.xml><?xml version="1.0" encoding="utf-8"?>
<worksheet xmlns="http://schemas.openxmlformats.org/spreadsheetml/2006/main" xmlns:r="http://schemas.openxmlformats.org/officeDocument/2006/relationships">
  <sheetPr codeName="Sheet16">
    <tabColor indexed="14"/>
  </sheetPr>
  <dimension ref="A1:R532"/>
  <sheetViews>
    <sheetView view="pageBreakPreview" topLeftCell="A45" zoomScaleSheetLayoutView="100" workbookViewId="0">
      <selection activeCell="N136" sqref="N136"/>
    </sheetView>
  </sheetViews>
  <sheetFormatPr defaultRowHeight="18" customHeight="1"/>
  <cols>
    <col min="1" max="1" width="3.625" style="647" customWidth="1"/>
    <col min="2" max="2" width="15.25" style="648" customWidth="1"/>
    <col min="3" max="3" width="10.125" style="634" customWidth="1"/>
    <col min="4" max="4" width="10.75" style="634" customWidth="1"/>
    <col min="5" max="5" width="0.5" style="634" customWidth="1"/>
    <col min="6" max="6" width="15" style="634" customWidth="1"/>
    <col min="7" max="7" width="0.625" style="634" customWidth="1"/>
    <col min="8" max="8" width="15.625" style="1058" customWidth="1"/>
    <col min="9" max="9" width="1" style="1058" customWidth="1"/>
    <col min="10" max="10" width="15.875" style="1058" customWidth="1"/>
    <col min="11" max="11" width="0.25" style="634" customWidth="1"/>
    <col min="12" max="12" width="17" style="636" bestFit="1" customWidth="1"/>
    <col min="13" max="13" width="0.625" style="637" customWidth="1"/>
    <col min="14" max="14" width="17" style="637" bestFit="1" customWidth="1"/>
    <col min="15" max="15" width="15" style="639" customWidth="1"/>
    <col min="16" max="16" width="15.375" style="639" bestFit="1" customWidth="1"/>
    <col min="17" max="17" width="14.25" style="639" bestFit="1" customWidth="1"/>
    <col min="18" max="18" width="14.25" style="636" bestFit="1" customWidth="1"/>
    <col min="19" max="19" width="18.5" style="634" customWidth="1"/>
    <col min="20" max="16384" width="9" style="634"/>
  </cols>
  <sheetData>
    <row r="1" spans="1:18" s="594" customFormat="1" ht="18" customHeight="1">
      <c r="A1" s="1290" t="str">
        <f>BS!A1</f>
        <v>C«ng ty Cæ phÇn §Çu t­ &amp; Th­¬ng m¹i DÇu KhÝ S«ng §µ</v>
      </c>
      <c r="H1" s="1061"/>
      <c r="I1" s="1061"/>
      <c r="L1" s="596"/>
      <c r="M1" s="597"/>
      <c r="N1" s="597"/>
      <c r="O1" s="597"/>
      <c r="P1" s="597"/>
      <c r="Q1" s="597"/>
      <c r="R1" s="596"/>
    </row>
    <row r="2" spans="1:18" s="598" customFormat="1" ht="15" customHeight="1">
      <c r="A2" s="1170" t="str">
        <f>BS!A2</f>
        <v>§Þa chØ: TÇng 4, CT3, tßa nhµ Fodacon, ®­êng TrÇn Phó</v>
      </c>
      <c r="H2" s="1058"/>
      <c r="I2" s="1058"/>
      <c r="J2" s="1555" t="s">
        <v>1227</v>
      </c>
      <c r="L2" s="600"/>
      <c r="M2" s="601"/>
      <c r="N2" s="601"/>
      <c r="O2" s="601"/>
      <c r="P2" s="601"/>
      <c r="Q2" s="601"/>
      <c r="R2" s="600"/>
    </row>
    <row r="3" spans="1:18" s="598" customFormat="1" ht="15" customHeight="1">
      <c r="A3" s="1279" t="s">
        <v>887</v>
      </c>
      <c r="B3" s="602"/>
      <c r="C3" s="602"/>
      <c r="D3" s="602"/>
      <c r="E3" s="602"/>
      <c r="F3" s="602"/>
      <c r="G3" s="602"/>
      <c r="H3" s="1062"/>
      <c r="I3" s="1062"/>
      <c r="J3" s="1556" t="str">
        <f>BS!N3</f>
        <v>Gi÷a niªn ®é kÕt thóc ngµy 30/06/2013</v>
      </c>
      <c r="L3" s="600"/>
      <c r="M3" s="601"/>
      <c r="N3" s="601"/>
      <c r="O3" s="601"/>
      <c r="P3" s="601"/>
      <c r="Q3" s="601"/>
      <c r="R3" s="600"/>
    </row>
    <row r="4" spans="1:18" s="598" customFormat="1" ht="15">
      <c r="B4" s="608"/>
      <c r="H4" s="1058"/>
      <c r="I4" s="1058"/>
      <c r="J4" s="1058"/>
      <c r="L4" s="626"/>
      <c r="M4" s="632"/>
      <c r="N4" s="632"/>
      <c r="O4" s="632"/>
      <c r="P4" s="632"/>
      <c r="Q4" s="632"/>
      <c r="R4" s="596"/>
    </row>
    <row r="5" spans="1:18" s="594" customFormat="1" ht="15" hidden="1">
      <c r="A5" s="610" t="s">
        <v>680</v>
      </c>
      <c r="B5" s="604" t="s">
        <v>1358</v>
      </c>
      <c r="H5" s="1061"/>
      <c r="I5" s="1061"/>
      <c r="J5" s="1061"/>
      <c r="L5" s="626"/>
      <c r="M5" s="632"/>
      <c r="N5" s="632"/>
      <c r="O5" s="632"/>
      <c r="P5" s="632"/>
      <c r="Q5" s="632"/>
      <c r="R5" s="596"/>
    </row>
    <row r="6" spans="1:18" s="594" customFormat="1" ht="15.75">
      <c r="A6" s="610" t="s">
        <v>673</v>
      </c>
      <c r="B6" s="1463" t="s">
        <v>1226</v>
      </c>
      <c r="H6" s="1061"/>
      <c r="I6" s="1061"/>
      <c r="J6" s="1061"/>
      <c r="L6" s="626"/>
      <c r="M6" s="632"/>
      <c r="N6" s="632"/>
      <c r="O6" s="632"/>
      <c r="P6" s="632"/>
      <c r="Q6" s="632"/>
      <c r="R6" s="596"/>
    </row>
    <row r="7" spans="1:18" s="594" customFormat="1" ht="30">
      <c r="B7" s="649" t="s">
        <v>712</v>
      </c>
      <c r="C7" s="650"/>
      <c r="D7" s="1709"/>
      <c r="E7" s="1709"/>
      <c r="F7" s="1709"/>
      <c r="G7" s="653"/>
      <c r="H7" s="1063" t="s">
        <v>301</v>
      </c>
      <c r="I7" s="1064"/>
      <c r="J7" s="1065" t="s">
        <v>1571</v>
      </c>
      <c r="L7" s="626"/>
      <c r="M7" s="632"/>
      <c r="N7" s="632"/>
      <c r="O7" s="632"/>
      <c r="P7" s="632"/>
      <c r="Q7" s="632"/>
      <c r="R7" s="596"/>
    </row>
    <row r="8" spans="1:18" s="594" customFormat="1" ht="15">
      <c r="B8" s="654" t="s">
        <v>247</v>
      </c>
      <c r="C8" s="655"/>
      <c r="D8" s="1710"/>
      <c r="E8" s="1710"/>
      <c r="F8" s="1710"/>
      <c r="G8" s="656"/>
      <c r="H8" s="1066"/>
      <c r="I8" s="1067"/>
      <c r="J8" s="1068"/>
      <c r="L8" s="626"/>
      <c r="M8" s="632"/>
      <c r="N8" s="632"/>
      <c r="O8" s="632"/>
      <c r="P8" s="632"/>
      <c r="Q8" s="632"/>
      <c r="R8" s="596"/>
    </row>
    <row r="9" spans="1:18" s="631" customFormat="1" ht="15" customHeight="1">
      <c r="B9" s="657" t="s">
        <v>487</v>
      </c>
      <c r="C9" s="658"/>
      <c r="D9" s="1711"/>
      <c r="E9" s="1711"/>
      <c r="F9" s="1711"/>
      <c r="G9" s="659"/>
      <c r="H9" s="1069">
        <v>70000000</v>
      </c>
      <c r="I9" s="1070"/>
      <c r="J9" s="1071">
        <f>SUM(F9:I9)</f>
        <v>70000000</v>
      </c>
      <c r="L9" s="626">
        <f>J9-BS!N52</f>
        <v>0</v>
      </c>
      <c r="M9" s="632"/>
      <c r="N9" s="632"/>
      <c r="O9" s="632"/>
      <c r="P9" s="632"/>
      <c r="Q9" s="632"/>
      <c r="R9" s="626"/>
    </row>
    <row r="10" spans="1:18" s="631" customFormat="1" ht="15" customHeight="1">
      <c r="B10" s="657" t="s">
        <v>1576</v>
      </c>
      <c r="C10" s="658"/>
      <c r="D10" s="1711"/>
      <c r="E10" s="1711"/>
      <c r="F10" s="1711"/>
      <c r="G10" s="659"/>
      <c r="H10" s="1072">
        <f>SUM(H11:H14)</f>
        <v>0</v>
      </c>
      <c r="I10" s="1070"/>
      <c r="J10" s="1071">
        <f t="shared" ref="J10:J30" si="0">SUM(F10:H10)</f>
        <v>0</v>
      </c>
      <c r="L10" s="626"/>
      <c r="M10" s="632"/>
      <c r="N10" s="632"/>
      <c r="O10" s="632"/>
      <c r="P10" s="632"/>
      <c r="Q10" s="632"/>
      <c r="R10" s="626"/>
    </row>
    <row r="11" spans="1:18" s="598" customFormat="1" ht="15">
      <c r="B11" s="660" t="s">
        <v>249</v>
      </c>
      <c r="C11" s="661"/>
      <c r="D11" s="1707"/>
      <c r="E11" s="1707"/>
      <c r="F11" s="1707"/>
      <c r="G11" s="665"/>
      <c r="H11" s="1073"/>
      <c r="I11" s="1074"/>
      <c r="J11" s="1075">
        <f t="shared" si="0"/>
        <v>0</v>
      </c>
      <c r="L11" s="642"/>
      <c r="M11" s="645"/>
      <c r="N11" s="645"/>
      <c r="O11" s="645"/>
      <c r="P11" s="645"/>
      <c r="Q11" s="645"/>
      <c r="R11" s="600"/>
    </row>
    <row r="12" spans="1:18" s="598" customFormat="1" ht="15" hidden="1" customHeight="1">
      <c r="B12" s="1368" t="s">
        <v>1243</v>
      </c>
      <c r="C12" s="661"/>
      <c r="D12" s="662"/>
      <c r="E12" s="663"/>
      <c r="F12" s="664"/>
      <c r="G12" s="665"/>
      <c r="H12" s="1073"/>
      <c r="I12" s="1074"/>
      <c r="J12" s="1075">
        <f t="shared" si="0"/>
        <v>0</v>
      </c>
      <c r="L12" s="642"/>
      <c r="M12" s="645"/>
      <c r="N12" s="645"/>
      <c r="O12" s="645"/>
      <c r="P12" s="645"/>
      <c r="Q12" s="645"/>
      <c r="R12" s="600"/>
    </row>
    <row r="13" spans="1:18" s="598" customFormat="1" ht="15" hidden="1" customHeight="1">
      <c r="B13" s="1373" t="s">
        <v>1244</v>
      </c>
      <c r="C13" s="661"/>
      <c r="D13" s="662"/>
      <c r="E13" s="663"/>
      <c r="F13" s="664"/>
      <c r="G13" s="665"/>
      <c r="H13" s="1073"/>
      <c r="I13" s="1074"/>
      <c r="J13" s="1075">
        <f t="shared" si="0"/>
        <v>0</v>
      </c>
      <c r="L13" s="642"/>
      <c r="M13" s="645"/>
      <c r="N13" s="645"/>
      <c r="O13" s="645"/>
      <c r="P13" s="645"/>
      <c r="Q13" s="645"/>
      <c r="R13" s="600"/>
    </row>
    <row r="14" spans="1:18" s="598" customFormat="1" ht="15">
      <c r="B14" s="660" t="s">
        <v>232</v>
      </c>
      <c r="C14" s="661"/>
      <c r="D14" s="1707"/>
      <c r="E14" s="1707"/>
      <c r="F14" s="1707"/>
      <c r="G14" s="665"/>
      <c r="H14" s="1073"/>
      <c r="I14" s="1074"/>
      <c r="J14" s="1075">
        <f t="shared" si="0"/>
        <v>0</v>
      </c>
      <c r="L14" s="642"/>
      <c r="M14" s="645"/>
      <c r="N14" s="645"/>
      <c r="O14" s="645"/>
      <c r="P14" s="645"/>
      <c r="Q14" s="645"/>
      <c r="R14" s="600"/>
    </row>
    <row r="15" spans="1:18" s="631" customFormat="1" ht="15" customHeight="1">
      <c r="B15" s="657" t="s">
        <v>488</v>
      </c>
      <c r="C15" s="658"/>
      <c r="D15" s="1711"/>
      <c r="E15" s="1711"/>
      <c r="F15" s="1711"/>
      <c r="G15" s="659"/>
      <c r="H15" s="1072">
        <f>SUM(H16:H17)</f>
        <v>0</v>
      </c>
      <c r="I15" s="1070"/>
      <c r="J15" s="1071">
        <f t="shared" si="0"/>
        <v>0</v>
      </c>
      <c r="L15" s="626"/>
      <c r="M15" s="632"/>
      <c r="N15" s="632"/>
      <c r="O15" s="632"/>
      <c r="P15" s="632"/>
      <c r="Q15" s="632"/>
      <c r="R15" s="626"/>
    </row>
    <row r="16" spans="1:18" s="598" customFormat="1" ht="15">
      <c r="B16" s="660" t="s">
        <v>234</v>
      </c>
      <c r="C16" s="661"/>
      <c r="D16" s="1707"/>
      <c r="E16" s="1707"/>
      <c r="F16" s="1707"/>
      <c r="G16" s="665"/>
      <c r="H16" s="1076"/>
      <c r="I16" s="1074"/>
      <c r="J16" s="1075">
        <f t="shared" si="0"/>
        <v>0</v>
      </c>
      <c r="L16" s="642"/>
      <c r="M16" s="645"/>
      <c r="N16" s="645"/>
      <c r="O16" s="645"/>
      <c r="P16" s="645"/>
      <c r="Q16" s="645"/>
      <c r="R16" s="600"/>
    </row>
    <row r="17" spans="1:18" s="598" customFormat="1" ht="15">
      <c r="B17" s="660" t="s">
        <v>235</v>
      </c>
      <c r="C17" s="661"/>
      <c r="D17" s="1707"/>
      <c r="E17" s="1707"/>
      <c r="F17" s="1707"/>
      <c r="G17" s="665"/>
      <c r="H17" s="1076"/>
      <c r="I17" s="1074"/>
      <c r="J17" s="1075">
        <f t="shared" si="0"/>
        <v>0</v>
      </c>
      <c r="L17" s="642"/>
      <c r="M17" s="645"/>
      <c r="N17" s="645"/>
      <c r="O17" s="645"/>
      <c r="P17" s="645"/>
      <c r="Q17" s="645"/>
      <c r="R17" s="600"/>
    </row>
    <row r="18" spans="1:18" s="631" customFormat="1" ht="15" customHeight="1">
      <c r="B18" s="657" t="s">
        <v>1577</v>
      </c>
      <c r="C18" s="658"/>
      <c r="D18" s="1707"/>
      <c r="E18" s="1707"/>
      <c r="F18" s="1707"/>
      <c r="G18" s="659"/>
      <c r="H18" s="1072">
        <f>H9+H10-H15</f>
        <v>70000000</v>
      </c>
      <c r="I18" s="1070"/>
      <c r="J18" s="1071">
        <f t="shared" si="0"/>
        <v>70000000</v>
      </c>
      <c r="L18" s="626">
        <f>BS!L52-J18</f>
        <v>0</v>
      </c>
      <c r="M18" s="632"/>
      <c r="N18" s="632"/>
      <c r="O18" s="632"/>
      <c r="P18" s="632"/>
      <c r="Q18" s="632"/>
      <c r="R18" s="626"/>
    </row>
    <row r="19" spans="1:18" s="594" customFormat="1" ht="15">
      <c r="B19" s="666" t="s">
        <v>1683</v>
      </c>
      <c r="C19" s="667"/>
      <c r="D19" s="1707"/>
      <c r="E19" s="1707"/>
      <c r="F19" s="1707"/>
      <c r="G19" s="668"/>
      <c r="H19" s="1077"/>
      <c r="I19" s="1078"/>
      <c r="J19" s="1079">
        <f t="shared" si="0"/>
        <v>0</v>
      </c>
      <c r="L19" s="626"/>
      <c r="M19" s="632"/>
      <c r="N19" s="632"/>
      <c r="O19" s="632"/>
      <c r="P19" s="632"/>
      <c r="Q19" s="632"/>
      <c r="R19" s="596"/>
    </row>
    <row r="20" spans="1:18" s="631" customFormat="1" ht="15" customHeight="1">
      <c r="B20" s="657" t="s">
        <v>487</v>
      </c>
      <c r="C20" s="658"/>
      <c r="D20" s="1707"/>
      <c r="E20" s="1707"/>
      <c r="F20" s="1707"/>
      <c r="G20" s="659"/>
      <c r="H20" s="1069">
        <v>42777768</v>
      </c>
      <c r="I20" s="1070"/>
      <c r="J20" s="1071">
        <f t="shared" si="0"/>
        <v>42777768</v>
      </c>
      <c r="L20" s="626">
        <f>J20+BS!N53</f>
        <v>0</v>
      </c>
      <c r="M20" s="632"/>
      <c r="N20" s="632"/>
      <c r="O20" s="632"/>
      <c r="P20" s="632"/>
      <c r="Q20" s="632"/>
      <c r="R20" s="626"/>
    </row>
    <row r="21" spans="1:18" s="631" customFormat="1" ht="15" customHeight="1">
      <c r="B21" s="657" t="s">
        <v>248</v>
      </c>
      <c r="C21" s="658"/>
      <c r="D21" s="1707"/>
      <c r="E21" s="1707"/>
      <c r="F21" s="1707"/>
      <c r="G21" s="659"/>
      <c r="H21" s="1072">
        <f>H22+H23</f>
        <v>5833332</v>
      </c>
      <c r="I21" s="1070"/>
      <c r="J21" s="1071">
        <f t="shared" si="0"/>
        <v>5833332</v>
      </c>
      <c r="L21" s="626"/>
      <c r="M21" s="632"/>
      <c r="N21" s="632"/>
      <c r="O21" s="632"/>
      <c r="P21" s="632"/>
      <c r="Q21" s="632"/>
      <c r="R21" s="626"/>
    </row>
    <row r="22" spans="1:18" s="598" customFormat="1" ht="15">
      <c r="B22" s="660" t="s">
        <v>251</v>
      </c>
      <c r="C22" s="661"/>
      <c r="D22" s="1707"/>
      <c r="E22" s="1707"/>
      <c r="F22" s="1707"/>
      <c r="G22" s="665"/>
      <c r="H22" s="1073">
        <v>5833332</v>
      </c>
      <c r="I22" s="1074"/>
      <c r="J22" s="1075">
        <f t="shared" si="0"/>
        <v>5833332</v>
      </c>
      <c r="L22" s="642"/>
      <c r="M22" s="645"/>
      <c r="N22" s="645"/>
      <c r="O22" s="645"/>
      <c r="P22" s="645"/>
      <c r="Q22" s="645"/>
      <c r="R22" s="600"/>
    </row>
    <row r="23" spans="1:18" s="598" customFormat="1" ht="15">
      <c r="B23" s="660" t="s">
        <v>232</v>
      </c>
      <c r="C23" s="661"/>
      <c r="D23" s="1707"/>
      <c r="E23" s="1707"/>
      <c r="F23" s="1707"/>
      <c r="G23" s="665"/>
      <c r="H23" s="1073">
        <v>0</v>
      </c>
      <c r="I23" s="1074"/>
      <c r="J23" s="1075">
        <f t="shared" si="0"/>
        <v>0</v>
      </c>
      <c r="L23" s="642"/>
      <c r="M23" s="645"/>
      <c r="N23" s="645"/>
      <c r="O23" s="645"/>
      <c r="P23" s="645"/>
      <c r="Q23" s="645"/>
      <c r="R23" s="600"/>
    </row>
    <row r="24" spans="1:18" s="631" customFormat="1" ht="15" customHeight="1">
      <c r="B24" s="657" t="s">
        <v>250</v>
      </c>
      <c r="C24" s="658"/>
      <c r="D24" s="1707"/>
      <c r="E24" s="1707"/>
      <c r="F24" s="1707"/>
      <c r="G24" s="659"/>
      <c r="H24" s="1072">
        <f>H25+H26</f>
        <v>0</v>
      </c>
      <c r="I24" s="1070"/>
      <c r="J24" s="1071">
        <f t="shared" si="0"/>
        <v>0</v>
      </c>
      <c r="L24" s="626"/>
      <c r="M24" s="632"/>
      <c r="N24" s="632"/>
      <c r="O24" s="632"/>
      <c r="P24" s="632"/>
      <c r="Q24" s="632"/>
      <c r="R24" s="626"/>
    </row>
    <row r="25" spans="1:18" s="598" customFormat="1" ht="15">
      <c r="B25" s="660" t="s">
        <v>234</v>
      </c>
      <c r="C25" s="661"/>
      <c r="D25" s="1707"/>
      <c r="E25" s="1707"/>
      <c r="F25" s="1707"/>
      <c r="G25" s="665"/>
      <c r="H25" s="1073"/>
      <c r="I25" s="1074"/>
      <c r="J25" s="1075">
        <f t="shared" si="0"/>
        <v>0</v>
      </c>
      <c r="L25" s="642"/>
      <c r="M25" s="645"/>
      <c r="N25" s="645"/>
      <c r="O25" s="645"/>
      <c r="P25" s="645"/>
      <c r="Q25" s="645"/>
      <c r="R25" s="600"/>
    </row>
    <row r="26" spans="1:18" s="598" customFormat="1" ht="15">
      <c r="B26" s="660" t="s">
        <v>235</v>
      </c>
      <c r="C26" s="661"/>
      <c r="D26" s="1707"/>
      <c r="E26" s="1707"/>
      <c r="F26" s="1707"/>
      <c r="G26" s="665"/>
      <c r="H26" s="1073"/>
      <c r="I26" s="1074"/>
      <c r="J26" s="1075">
        <f t="shared" si="0"/>
        <v>0</v>
      </c>
      <c r="L26" s="642"/>
      <c r="M26" s="645"/>
      <c r="N26" s="645"/>
      <c r="O26" s="645"/>
      <c r="P26" s="645"/>
      <c r="Q26" s="645"/>
      <c r="R26" s="600"/>
    </row>
    <row r="27" spans="1:18" s="631" customFormat="1" ht="15" customHeight="1">
      <c r="B27" s="657" t="s">
        <v>1578</v>
      </c>
      <c r="C27" s="658"/>
      <c r="D27" s="1707"/>
      <c r="E27" s="1707"/>
      <c r="F27" s="1707"/>
      <c r="G27" s="659"/>
      <c r="H27" s="1072">
        <f>H20+H21-H24</f>
        <v>48611100</v>
      </c>
      <c r="I27" s="1070"/>
      <c r="J27" s="1071">
        <f t="shared" si="0"/>
        <v>48611100</v>
      </c>
      <c r="L27" s="626">
        <f>J27+BS!L53</f>
        <v>0</v>
      </c>
      <c r="M27" s="632"/>
      <c r="N27" s="632"/>
      <c r="O27" s="632"/>
      <c r="P27" s="632"/>
      <c r="Q27" s="632"/>
      <c r="R27" s="626"/>
    </row>
    <row r="28" spans="1:18" s="594" customFormat="1" ht="15">
      <c r="B28" s="666" t="s">
        <v>252</v>
      </c>
      <c r="C28" s="667"/>
      <c r="D28" s="1707"/>
      <c r="E28" s="1707"/>
      <c r="F28" s="1707"/>
      <c r="G28" s="668"/>
      <c r="H28" s="1077"/>
      <c r="I28" s="1078"/>
      <c r="J28" s="1079">
        <f t="shared" si="0"/>
        <v>0</v>
      </c>
      <c r="L28" s="626"/>
      <c r="M28" s="632"/>
      <c r="N28" s="632"/>
      <c r="O28" s="632"/>
      <c r="P28" s="632"/>
      <c r="Q28" s="632"/>
      <c r="R28" s="596"/>
    </row>
    <row r="29" spans="1:18" s="631" customFormat="1" ht="15" customHeight="1">
      <c r="B29" s="657" t="s">
        <v>1579</v>
      </c>
      <c r="C29" s="658"/>
      <c r="D29" s="1707"/>
      <c r="E29" s="1707"/>
      <c r="F29" s="1707"/>
      <c r="G29" s="659"/>
      <c r="H29" s="1072">
        <f>H9-H20</f>
        <v>27222232</v>
      </c>
      <c r="I29" s="1070"/>
      <c r="J29" s="1071">
        <f t="shared" si="0"/>
        <v>27222232</v>
      </c>
      <c r="L29" s="626">
        <f>J29-BS!N51</f>
        <v>0</v>
      </c>
      <c r="M29" s="632"/>
      <c r="N29" s="632"/>
      <c r="O29" s="632"/>
      <c r="P29" s="632"/>
      <c r="Q29" s="632"/>
      <c r="R29" s="626"/>
    </row>
    <row r="30" spans="1:18" s="631" customFormat="1" ht="15" customHeight="1">
      <c r="B30" s="669" t="s">
        <v>1580</v>
      </c>
      <c r="C30" s="670"/>
      <c r="D30" s="1716"/>
      <c r="E30" s="1716"/>
      <c r="F30" s="1716"/>
      <c r="G30" s="671"/>
      <c r="H30" s="1080">
        <f>H18-H27</f>
        <v>21388900</v>
      </c>
      <c r="I30" s="1081"/>
      <c r="J30" s="1082">
        <f t="shared" si="0"/>
        <v>21388900</v>
      </c>
      <c r="L30" s="626">
        <f>J30-BS!L51</f>
        <v>0</v>
      </c>
      <c r="M30" s="632"/>
      <c r="N30" s="632"/>
      <c r="O30" s="632"/>
      <c r="P30" s="632"/>
      <c r="Q30" s="632"/>
      <c r="R30" s="626"/>
    </row>
    <row r="31" spans="1:18" s="631" customFormat="1" ht="14.25">
      <c r="B31" s="672"/>
      <c r="C31" s="632"/>
      <c r="D31" s="673"/>
      <c r="E31" s="673"/>
      <c r="F31" s="625"/>
      <c r="G31" s="626"/>
      <c r="H31" s="1083"/>
      <c r="I31" s="1083"/>
      <c r="J31" s="1083"/>
      <c r="L31" s="626"/>
      <c r="M31" s="632"/>
      <c r="N31" s="632"/>
      <c r="O31" s="632"/>
      <c r="P31" s="632"/>
      <c r="Q31" s="632"/>
      <c r="R31" s="626"/>
    </row>
    <row r="32" spans="1:18" s="598" customFormat="1" ht="15">
      <c r="A32" s="610" t="s">
        <v>676</v>
      </c>
      <c r="B32" s="604" t="s">
        <v>1574</v>
      </c>
      <c r="H32" s="612" t="s">
        <v>1428</v>
      </c>
      <c r="I32" s="613"/>
      <c r="J32" s="1136" t="s">
        <v>256</v>
      </c>
      <c r="L32" s="596"/>
      <c r="M32" s="632"/>
      <c r="N32" s="632"/>
      <c r="O32" s="632"/>
      <c r="P32" s="632"/>
      <c r="Q32" s="632"/>
      <c r="R32" s="596"/>
    </row>
    <row r="33" spans="1:18" s="594" customFormat="1" ht="15">
      <c r="B33" s="604"/>
      <c r="C33" s="624"/>
      <c r="D33" s="624"/>
      <c r="E33" s="624"/>
      <c r="F33" s="624"/>
      <c r="G33" s="624"/>
      <c r="H33" s="1061"/>
      <c r="I33" s="1061"/>
      <c r="J33" s="1061"/>
      <c r="L33" s="626"/>
      <c r="M33" s="632"/>
      <c r="N33" s="632"/>
      <c r="O33" s="632"/>
      <c r="P33" s="632"/>
      <c r="Q33" s="632"/>
      <c r="R33" s="596"/>
    </row>
    <row r="34" spans="1:18" s="631" customFormat="1" ht="14.25">
      <c r="B34" s="1399" t="s">
        <v>294</v>
      </c>
      <c r="C34" s="624"/>
      <c r="D34" s="624"/>
      <c r="E34" s="624"/>
      <c r="F34" s="624"/>
      <c r="G34" s="624"/>
      <c r="H34" s="1285">
        <v>1290259354</v>
      </c>
      <c r="I34" s="1086"/>
      <c r="J34" s="1285">
        <v>1290259354</v>
      </c>
      <c r="L34" s="626"/>
      <c r="M34" s="632"/>
      <c r="N34" s="632"/>
      <c r="O34" s="632"/>
      <c r="P34" s="632"/>
      <c r="Q34" s="632"/>
      <c r="R34" s="626"/>
    </row>
    <row r="35" spans="1:18" s="598" customFormat="1" ht="15" hidden="1">
      <c r="B35" s="1400" t="s">
        <v>580</v>
      </c>
      <c r="C35" s="618"/>
      <c r="D35" s="618"/>
      <c r="E35" s="618"/>
      <c r="F35" s="618"/>
      <c r="G35" s="618"/>
      <c r="H35" s="1058"/>
      <c r="I35" s="1058"/>
      <c r="J35" s="1058"/>
      <c r="L35" s="600"/>
      <c r="M35" s="601"/>
      <c r="N35" s="601"/>
      <c r="O35" s="601"/>
      <c r="P35" s="601"/>
      <c r="Q35" s="601"/>
      <c r="R35" s="600"/>
    </row>
    <row r="36" spans="1:18" s="598" customFormat="1" ht="15">
      <c r="B36" s="1400" t="s">
        <v>597</v>
      </c>
      <c r="C36" s="618"/>
      <c r="D36" s="618"/>
      <c r="E36" s="618"/>
      <c r="F36" s="618"/>
      <c r="G36" s="618"/>
      <c r="H36" s="1058">
        <v>17989217984</v>
      </c>
      <c r="I36" s="1058"/>
      <c r="J36" s="1058">
        <v>17787601150</v>
      </c>
      <c r="L36" s="600"/>
      <c r="M36" s="601"/>
      <c r="N36" s="601"/>
      <c r="O36" s="601"/>
      <c r="P36" s="601"/>
      <c r="Q36" s="601"/>
      <c r="R36" s="600"/>
    </row>
    <row r="37" spans="1:18" s="598" customFormat="1" ht="6" customHeight="1">
      <c r="B37" s="608"/>
      <c r="H37" s="1058"/>
      <c r="I37" s="1058"/>
      <c r="J37" s="1058"/>
      <c r="L37" s="626"/>
      <c r="M37" s="632"/>
      <c r="N37" s="632"/>
      <c r="O37" s="632"/>
      <c r="P37" s="632"/>
      <c r="Q37" s="632"/>
      <c r="R37" s="596"/>
    </row>
    <row r="38" spans="1:18" s="598" customFormat="1" ht="15.75" thickBot="1">
      <c r="B38" s="633" t="s">
        <v>1571</v>
      </c>
      <c r="C38" s="644"/>
      <c r="D38" s="644"/>
      <c r="E38" s="644"/>
      <c r="F38" s="644"/>
      <c r="G38" s="594"/>
      <c r="H38" s="1087">
        <f>SUM(H34:H37)</f>
        <v>19279477338</v>
      </c>
      <c r="I38" s="1061"/>
      <c r="J38" s="1087">
        <f>SUM(J34:J37)</f>
        <v>19077860504</v>
      </c>
      <c r="L38" s="626">
        <f>H38-BS!L54</f>
        <v>0</v>
      </c>
      <c r="M38" s="632"/>
      <c r="N38" s="674">
        <f>J38-BS!N54</f>
        <v>0</v>
      </c>
      <c r="O38" s="632"/>
      <c r="P38" s="632"/>
      <c r="Q38" s="632"/>
      <c r="R38" s="596"/>
    </row>
    <row r="39" spans="1:18" s="598" customFormat="1" ht="15.75" thickTop="1">
      <c r="B39" s="1286"/>
      <c r="C39" s="597"/>
      <c r="D39" s="597"/>
      <c r="E39" s="597"/>
      <c r="F39" s="597"/>
      <c r="G39" s="594"/>
      <c r="H39" s="1099"/>
      <c r="I39" s="1061"/>
      <c r="J39" s="1099"/>
      <c r="L39" s="626"/>
      <c r="M39" s="632"/>
      <c r="N39" s="674"/>
      <c r="O39" s="632"/>
      <c r="P39" s="632"/>
      <c r="Q39" s="632"/>
      <c r="R39" s="596"/>
    </row>
    <row r="40" spans="1:18" s="594" customFormat="1" ht="15">
      <c r="A40" s="610" t="s">
        <v>678</v>
      </c>
      <c r="B40" s="604" t="s">
        <v>1608</v>
      </c>
      <c r="C40" s="601"/>
      <c r="D40" s="600"/>
      <c r="E40" s="600"/>
      <c r="F40" s="600"/>
      <c r="G40" s="600"/>
      <c r="H40" s="614"/>
      <c r="I40" s="613"/>
      <c r="J40" s="1410"/>
      <c r="L40" s="626"/>
      <c r="M40" s="632"/>
      <c r="N40" s="632"/>
      <c r="O40" s="632"/>
      <c r="P40" s="632"/>
      <c r="Q40" s="632"/>
      <c r="R40" s="596"/>
    </row>
    <row r="41" spans="1:18" s="598" customFormat="1" ht="15">
      <c r="B41" s="1269"/>
      <c r="C41" s="1269"/>
      <c r="D41" s="1269"/>
      <c r="E41" s="1269"/>
      <c r="F41" s="1269"/>
      <c r="G41" s="594"/>
      <c r="H41" s="1269"/>
      <c r="I41" s="1061"/>
      <c r="J41" s="1541"/>
      <c r="L41" s="626"/>
      <c r="M41" s="632"/>
      <c r="N41" s="674"/>
      <c r="O41" s="632"/>
      <c r="P41" s="632"/>
      <c r="Q41" s="632"/>
      <c r="R41" s="596"/>
    </row>
    <row r="42" spans="1:18" s="594" customFormat="1" ht="21" customHeight="1">
      <c r="A42" s="1528"/>
      <c r="B42" s="1701" t="s">
        <v>712</v>
      </c>
      <c r="C42" s="1529"/>
      <c r="D42" s="1698" t="s">
        <v>1428</v>
      </c>
      <c r="E42" s="1726"/>
      <c r="F42" s="1699"/>
      <c r="G42" s="1530"/>
      <c r="H42" s="1699" t="s">
        <v>256</v>
      </c>
      <c r="I42" s="1699"/>
      <c r="J42" s="1700"/>
      <c r="L42" s="626"/>
      <c r="M42" s="632"/>
      <c r="N42" s="632"/>
      <c r="O42" s="632"/>
      <c r="P42" s="632"/>
      <c r="Q42" s="632"/>
      <c r="R42" s="596"/>
    </row>
    <row r="43" spans="1:18" s="594" customFormat="1" ht="16.5" hidden="1" customHeight="1">
      <c r="B43" s="1702"/>
      <c r="C43" s="1270"/>
      <c r="D43" s="652" t="s">
        <v>160</v>
      </c>
      <c r="E43" s="651"/>
      <c r="F43" s="650" t="s">
        <v>161</v>
      </c>
      <c r="G43" s="1268"/>
      <c r="H43" s="1269" t="s">
        <v>160</v>
      </c>
      <c r="I43" s="1272"/>
      <c r="J43" s="651" t="s">
        <v>161</v>
      </c>
      <c r="L43" s="626"/>
      <c r="M43" s="632"/>
      <c r="N43" s="632"/>
      <c r="O43" s="632"/>
      <c r="P43" s="632"/>
      <c r="Q43" s="632"/>
      <c r="R43" s="596"/>
    </row>
    <row r="44" spans="1:18" s="594" customFormat="1" ht="14.25" customHeight="1">
      <c r="A44" s="1528"/>
      <c r="B44" s="1257" t="s">
        <v>1293</v>
      </c>
      <c r="C44" s="1402"/>
      <c r="D44" s="1274"/>
      <c r="E44" s="1402"/>
      <c r="F44" s="1280">
        <v>15897438406</v>
      </c>
      <c r="G44" s="1531"/>
      <c r="H44" s="1281"/>
      <c r="I44" s="1532"/>
      <c r="J44" s="1282">
        <f>J45</f>
        <v>33626484267</v>
      </c>
      <c r="L44" s="626"/>
      <c r="M44" s="632"/>
      <c r="N44" s="632"/>
      <c r="O44" s="632"/>
      <c r="P44" s="632"/>
      <c r="Q44" s="632"/>
      <c r="R44" s="596"/>
    </row>
    <row r="45" spans="1:18" s="594" customFormat="1" ht="14.25" customHeight="1">
      <c r="A45" s="1528"/>
      <c r="B45" s="1259" t="s">
        <v>412</v>
      </c>
      <c r="C45" s="1402"/>
      <c r="D45" s="1274"/>
      <c r="E45" s="1402"/>
      <c r="F45" s="1401">
        <v>15897438406</v>
      </c>
      <c r="G45" s="1533"/>
      <c r="H45" s="617"/>
      <c r="I45" s="1405"/>
      <c r="J45" s="1332">
        <v>33626484267</v>
      </c>
      <c r="L45" s="626"/>
      <c r="M45" s="632"/>
      <c r="N45" s="632"/>
      <c r="O45" s="632"/>
      <c r="P45" s="632"/>
      <c r="Q45" s="632"/>
      <c r="R45" s="596"/>
    </row>
    <row r="46" spans="1:18" s="594" customFormat="1" ht="15">
      <c r="A46" s="1528"/>
      <c r="B46" s="1257" t="s">
        <v>1127</v>
      </c>
      <c r="C46" s="1402"/>
      <c r="D46" s="1331"/>
      <c r="E46" s="1402"/>
      <c r="F46" s="1534">
        <f>SUM(F47:F52)</f>
        <v>19764486082</v>
      </c>
      <c r="G46" s="1533"/>
      <c r="H46" s="1406"/>
      <c r="I46" s="1405"/>
      <c r="J46" s="1261">
        <f>SUM(J47:J52)</f>
        <v>18324687082</v>
      </c>
      <c r="L46" s="626"/>
      <c r="M46" s="632"/>
      <c r="N46" s="632"/>
      <c r="O46" s="632"/>
      <c r="P46" s="632"/>
      <c r="Q46" s="632"/>
      <c r="R46" s="596"/>
    </row>
    <row r="47" spans="1:18" s="631" customFormat="1" ht="14.25">
      <c r="A47" s="1528"/>
      <c r="B47" s="1259" t="s">
        <v>413</v>
      </c>
      <c r="C47" s="1402"/>
      <c r="D47" s="1331">
        <v>144000</v>
      </c>
      <c r="E47" s="1402"/>
      <c r="F47" s="1405">
        <v>2879799000</v>
      </c>
      <c r="G47" s="1533"/>
      <c r="H47" s="1406">
        <v>144000</v>
      </c>
      <c r="I47" s="1405"/>
      <c r="J47" s="1332">
        <v>1440000000</v>
      </c>
      <c r="L47" s="626"/>
      <c r="M47" s="632"/>
      <c r="N47" s="632"/>
      <c r="O47" s="632"/>
      <c r="P47" s="632"/>
      <c r="Q47" s="632"/>
      <c r="R47" s="626"/>
    </row>
    <row r="48" spans="1:18" s="631" customFormat="1" ht="14.25">
      <c r="A48" s="1528"/>
      <c r="B48" s="1259" t="s">
        <v>414</v>
      </c>
      <c r="C48" s="1402"/>
      <c r="D48" s="1331">
        <v>30000</v>
      </c>
      <c r="E48" s="1402"/>
      <c r="F48" s="1405">
        <v>300000000</v>
      </c>
      <c r="G48" s="1533"/>
      <c r="H48" s="1254">
        <v>30000</v>
      </c>
      <c r="I48" s="1405"/>
      <c r="J48" s="1332">
        <v>300000000</v>
      </c>
      <c r="L48" s="626"/>
      <c r="M48" s="632"/>
      <c r="N48" s="632"/>
      <c r="O48" s="632"/>
      <c r="P48" s="632"/>
      <c r="Q48" s="632"/>
      <c r="R48" s="626"/>
    </row>
    <row r="49" spans="1:18" s="631" customFormat="1" ht="14.25">
      <c r="A49" s="1528"/>
      <c r="B49" s="1259" t="s">
        <v>415</v>
      </c>
      <c r="C49" s="1402"/>
      <c r="D49" s="1331">
        <v>103220</v>
      </c>
      <c r="E49" s="1402"/>
      <c r="F49" s="1405">
        <v>1032200000</v>
      </c>
      <c r="G49" s="1533"/>
      <c r="H49" s="1254">
        <v>103220</v>
      </c>
      <c r="I49" s="1405"/>
      <c r="J49" s="1332">
        <v>1032200000</v>
      </c>
      <c r="L49" s="626"/>
      <c r="M49" s="632"/>
      <c r="N49" s="632"/>
      <c r="O49" s="632"/>
      <c r="P49" s="632"/>
      <c r="Q49" s="632"/>
      <c r="R49" s="626"/>
    </row>
    <row r="50" spans="1:18" s="631" customFormat="1" ht="14.25">
      <c r="A50" s="1528"/>
      <c r="B50" s="1259" t="s">
        <v>1656</v>
      </c>
      <c r="C50" s="1402"/>
      <c r="D50" s="1331">
        <v>932300</v>
      </c>
      <c r="E50" s="1402"/>
      <c r="F50" s="1405">
        <v>13262487082</v>
      </c>
      <c r="G50" s="1533"/>
      <c r="H50" s="1254">
        <v>932300</v>
      </c>
      <c r="I50" s="1405"/>
      <c r="J50" s="1332">
        <v>13262487082</v>
      </c>
      <c r="L50" s="626"/>
      <c r="M50" s="632"/>
      <c r="N50" s="632"/>
      <c r="O50" s="632"/>
      <c r="P50" s="632"/>
      <c r="Q50" s="632"/>
      <c r="R50" s="626"/>
    </row>
    <row r="51" spans="1:18" s="631" customFormat="1" ht="14.25">
      <c r="A51" s="1528"/>
      <c r="B51" s="1259" t="s">
        <v>416</v>
      </c>
      <c r="C51" s="1402"/>
      <c r="D51" s="1331">
        <v>200000</v>
      </c>
      <c r="E51" s="1402"/>
      <c r="F51" s="1405">
        <v>2000000000</v>
      </c>
      <c r="G51" s="1533"/>
      <c r="H51" s="1254">
        <v>200000</v>
      </c>
      <c r="I51" s="1405"/>
      <c r="J51" s="1332">
        <v>2000000000</v>
      </c>
      <c r="L51" s="626"/>
      <c r="M51" s="632"/>
      <c r="N51" s="632"/>
      <c r="O51" s="632"/>
      <c r="P51" s="632"/>
      <c r="Q51" s="632"/>
      <c r="R51" s="626"/>
    </row>
    <row r="52" spans="1:18" s="594" customFormat="1" ht="15" customHeight="1">
      <c r="A52" s="1528"/>
      <c r="B52" s="1259" t="s">
        <v>1658</v>
      </c>
      <c r="C52" s="1402"/>
      <c r="D52" s="1331">
        <v>29000</v>
      </c>
      <c r="E52" s="1402"/>
      <c r="F52" s="1405">
        <v>290000000</v>
      </c>
      <c r="G52" s="1533"/>
      <c r="H52" s="1254">
        <v>9000</v>
      </c>
      <c r="I52" s="1405"/>
      <c r="J52" s="1332">
        <v>290000000</v>
      </c>
      <c r="L52" s="626"/>
      <c r="M52" s="632"/>
      <c r="N52" s="632"/>
      <c r="O52" s="632"/>
      <c r="P52" s="632"/>
      <c r="Q52" s="632"/>
      <c r="R52" s="596"/>
    </row>
    <row r="53" spans="1:18" s="631" customFormat="1" ht="15">
      <c r="A53" s="1528"/>
      <c r="B53" s="1257" t="s">
        <v>1607</v>
      </c>
      <c r="C53" s="1402"/>
      <c r="D53" s="1331"/>
      <c r="E53" s="1402"/>
      <c r="F53" s="1534">
        <f>SUM(F54:F58)</f>
        <v>18408977000</v>
      </c>
      <c r="G53" s="1533"/>
      <c r="H53" s="1254"/>
      <c r="I53" s="1405"/>
      <c r="J53" s="1261">
        <f>SUM(J54:J58)</f>
        <v>18408977000</v>
      </c>
      <c r="L53" s="626"/>
      <c r="M53" s="632"/>
      <c r="N53" s="632"/>
      <c r="O53" s="632"/>
      <c r="P53" s="632"/>
      <c r="Q53" s="632"/>
      <c r="R53" s="626"/>
    </row>
    <row r="54" spans="1:18" s="631" customFormat="1" ht="14.25">
      <c r="A54" s="1528"/>
      <c r="B54" s="1259" t="s">
        <v>417</v>
      </c>
      <c r="C54" s="1402"/>
      <c r="D54" s="1331">
        <v>244080</v>
      </c>
      <c r="E54" s="1402"/>
      <c r="F54" s="1405">
        <v>2440800000</v>
      </c>
      <c r="G54" s="1533"/>
      <c r="H54" s="1254">
        <v>3000</v>
      </c>
      <c r="I54" s="1405"/>
      <c r="J54" s="1332">
        <v>2440800000</v>
      </c>
      <c r="L54" s="626"/>
      <c r="M54" s="632"/>
      <c r="N54" s="632"/>
      <c r="O54" s="632"/>
      <c r="P54" s="632"/>
      <c r="Q54" s="632"/>
      <c r="R54" s="626"/>
    </row>
    <row r="55" spans="1:18" s="631" customFormat="1" ht="14.25">
      <c r="A55" s="1528"/>
      <c r="B55" s="1259" t="s">
        <v>1610</v>
      </c>
      <c r="C55" s="1402"/>
      <c r="D55" s="1331">
        <v>1320000</v>
      </c>
      <c r="E55" s="1402"/>
      <c r="F55" s="1405">
        <v>13200000000</v>
      </c>
      <c r="G55" s="1533"/>
      <c r="H55" s="1254">
        <v>16100</v>
      </c>
      <c r="I55" s="1405"/>
      <c r="J55" s="1332">
        <v>13200000000</v>
      </c>
      <c r="L55" s="626"/>
      <c r="M55" s="632"/>
      <c r="N55" s="632"/>
      <c r="O55" s="632"/>
      <c r="P55" s="632"/>
      <c r="Q55" s="632"/>
      <c r="R55" s="626"/>
    </row>
    <row r="56" spans="1:18" s="631" customFormat="1" ht="14.25">
      <c r="A56" s="1528"/>
      <c r="B56" s="1259" t="s">
        <v>1611</v>
      </c>
      <c r="C56" s="1402"/>
      <c r="D56" s="1331">
        <v>100000</v>
      </c>
      <c r="E56" s="1402"/>
      <c r="F56" s="1405">
        <v>1000000000</v>
      </c>
      <c r="G56" s="1533"/>
      <c r="H56" s="1254">
        <v>10000</v>
      </c>
      <c r="I56" s="1405"/>
      <c r="J56" s="1332">
        <v>1000000000</v>
      </c>
      <c r="L56" s="626"/>
      <c r="M56" s="632"/>
      <c r="N56" s="632"/>
      <c r="O56" s="632"/>
      <c r="P56" s="632"/>
      <c r="Q56" s="632"/>
      <c r="R56" s="626"/>
    </row>
    <row r="57" spans="1:18" s="631" customFormat="1" ht="14.25">
      <c r="A57" s="1528"/>
      <c r="B57" s="1259" t="s">
        <v>418</v>
      </c>
      <c r="C57" s="1402"/>
      <c r="D57" s="1331">
        <v>150000</v>
      </c>
      <c r="E57" s="1402"/>
      <c r="F57" s="1405">
        <v>1500000000</v>
      </c>
      <c r="G57" s="1533"/>
      <c r="H57" s="1254">
        <v>10000</v>
      </c>
      <c r="I57" s="1405"/>
      <c r="J57" s="1332">
        <v>1500000000</v>
      </c>
      <c r="L57" s="626"/>
      <c r="M57" s="632"/>
      <c r="N57" s="632"/>
      <c r="O57" s="632"/>
      <c r="P57" s="632"/>
      <c r="Q57" s="632"/>
      <c r="R57" s="626"/>
    </row>
    <row r="58" spans="1:18" s="594" customFormat="1" ht="15">
      <c r="A58" s="1528"/>
      <c r="B58" s="1259" t="s">
        <v>419</v>
      </c>
      <c r="C58" s="1402"/>
      <c r="D58" s="1331">
        <v>14442</v>
      </c>
      <c r="E58" s="1402"/>
      <c r="F58" s="1405">
        <v>268177000</v>
      </c>
      <c r="G58" s="1533"/>
      <c r="H58" s="1254">
        <v>14442</v>
      </c>
      <c r="I58" s="1405"/>
      <c r="J58" s="1332">
        <v>268177000</v>
      </c>
      <c r="L58" s="626"/>
      <c r="M58" s="632"/>
      <c r="N58" s="632"/>
      <c r="O58" s="632"/>
      <c r="P58" s="632"/>
      <c r="Q58" s="632"/>
      <c r="R58" s="596"/>
    </row>
    <row r="59" spans="1:18" s="594" customFormat="1" ht="45" customHeight="1">
      <c r="A59" s="1528"/>
      <c r="B59" s="1727" t="s">
        <v>838</v>
      </c>
      <c r="C59" s="1728"/>
      <c r="D59" s="1533"/>
      <c r="E59" s="1402"/>
      <c r="F59" s="1275">
        <f>J59+17000000000-9789900434+10200000000</f>
        <v>-16216384701</v>
      </c>
      <c r="G59" s="1533"/>
      <c r="H59" s="1254"/>
      <c r="I59" s="1405"/>
      <c r="J59" s="1261">
        <v>-33626484267</v>
      </c>
      <c r="L59" s="626"/>
      <c r="M59" s="632"/>
      <c r="N59" s="674">
        <f>F59+9789900434</f>
        <v>-6426484267</v>
      </c>
      <c r="O59" s="632"/>
      <c r="P59" s="632"/>
      <c r="Q59" s="632"/>
      <c r="R59" s="596"/>
    </row>
    <row r="60" spans="1:18" s="631" customFormat="1" ht="17.25" customHeight="1">
      <c r="A60" s="1528"/>
      <c r="B60" s="1704" t="s">
        <v>889</v>
      </c>
      <c r="C60" s="1705"/>
      <c r="D60" s="1705"/>
      <c r="E60" s="1705"/>
      <c r="F60" s="1705"/>
      <c r="G60" s="1705"/>
      <c r="H60" s="1705"/>
      <c r="I60" s="1705"/>
      <c r="J60" s="1706"/>
      <c r="L60" s="626"/>
      <c r="M60" s="632"/>
      <c r="N60" s="674"/>
      <c r="O60" s="632"/>
      <c r="P60" s="632"/>
      <c r="Q60" s="632"/>
      <c r="R60" s="626"/>
    </row>
    <row r="61" spans="1:18" s="631" customFormat="1" ht="15">
      <c r="A61" s="1528"/>
      <c r="B61" s="1378"/>
      <c r="C61" s="1379"/>
      <c r="D61" s="1729"/>
      <c r="E61" s="1730"/>
      <c r="F61" s="1395"/>
      <c r="G61" s="1729"/>
      <c r="H61" s="1730"/>
      <c r="I61" s="1729"/>
      <c r="J61" s="1730"/>
      <c r="L61" s="626"/>
      <c r="M61" s="632"/>
      <c r="N61" s="632"/>
      <c r="O61" s="632"/>
      <c r="P61" s="632"/>
      <c r="Q61" s="632"/>
      <c r="R61" s="626"/>
    </row>
    <row r="62" spans="1:18" s="631" customFormat="1" ht="14.25">
      <c r="A62" s="1528"/>
      <c r="B62" s="1263" t="s">
        <v>164</v>
      </c>
      <c r="C62" s="1535"/>
      <c r="D62" s="1536"/>
      <c r="E62" s="1535"/>
      <c r="F62" s="1537">
        <f>F59-J59</f>
        <v>17410099566</v>
      </c>
      <c r="G62" s="1535"/>
      <c r="H62" s="1538"/>
      <c r="I62" s="1539"/>
      <c r="J62" s="1540"/>
      <c r="L62" s="626"/>
      <c r="M62" s="632"/>
      <c r="N62" s="632"/>
      <c r="O62" s="632"/>
      <c r="P62" s="632"/>
      <c r="Q62" s="632"/>
      <c r="R62" s="626"/>
    </row>
    <row r="63" spans="1:18" s="598" customFormat="1" ht="15">
      <c r="B63" s="608"/>
      <c r="F63" s="1542"/>
      <c r="H63" s="1058"/>
      <c r="I63" s="1058"/>
      <c r="J63" s="1058"/>
      <c r="L63" s="626"/>
      <c r="M63" s="632"/>
      <c r="N63" s="632"/>
      <c r="O63" s="632"/>
      <c r="P63" s="632"/>
      <c r="Q63" s="632"/>
      <c r="R63" s="596"/>
    </row>
    <row r="64" spans="1:18" s="594" customFormat="1" ht="15" hidden="1">
      <c r="A64" s="610" t="s">
        <v>689</v>
      </c>
      <c r="B64" s="604" t="s">
        <v>1359</v>
      </c>
      <c r="H64" s="1061"/>
      <c r="I64" s="1061"/>
      <c r="J64" s="1061"/>
      <c r="L64" s="626"/>
      <c r="M64" s="632"/>
      <c r="N64" s="632"/>
      <c r="O64" s="632"/>
      <c r="P64" s="632"/>
      <c r="Q64" s="632"/>
      <c r="R64" s="596"/>
    </row>
    <row r="65" spans="1:18" s="594" customFormat="1" ht="15" hidden="1" customHeight="1">
      <c r="A65" s="610"/>
      <c r="B65" s="709" t="s">
        <v>1681</v>
      </c>
      <c r="C65" s="1721" t="s">
        <v>256</v>
      </c>
      <c r="D65" s="1722"/>
      <c r="E65" s="1723"/>
      <c r="F65" s="1721" t="s">
        <v>1673</v>
      </c>
      <c r="G65" s="1723"/>
      <c r="H65" s="1719" t="s">
        <v>1674</v>
      </c>
      <c r="I65" s="1720"/>
      <c r="J65" s="1088" t="s">
        <v>1396</v>
      </c>
      <c r="L65" s="626"/>
      <c r="M65" s="632"/>
      <c r="N65" s="632"/>
      <c r="O65" s="632"/>
      <c r="P65" s="632"/>
      <c r="Q65" s="632"/>
      <c r="R65" s="596"/>
    </row>
    <row r="66" spans="1:18" s="594" customFormat="1" ht="30" hidden="1">
      <c r="A66" s="610"/>
      <c r="B66" s="705" t="s">
        <v>532</v>
      </c>
      <c r="C66" s="706"/>
      <c r="D66" s="707">
        <f>SUM(D67:D70)</f>
        <v>27607071080</v>
      </c>
      <c r="E66" s="708"/>
      <c r="F66" s="707">
        <f>SUM(F67:F70)</f>
        <v>0</v>
      </c>
      <c r="G66" s="708"/>
      <c r="H66" s="1089">
        <f>SUM(H67:H70)</f>
        <v>0</v>
      </c>
      <c r="I66" s="1090"/>
      <c r="J66" s="1091">
        <f>SUM(J67:J70)</f>
        <v>27607071080</v>
      </c>
      <c r="L66" s="626"/>
      <c r="M66" s="632"/>
      <c r="N66" s="632"/>
      <c r="O66" s="632"/>
      <c r="P66" s="632"/>
      <c r="Q66" s="632"/>
      <c r="R66" s="596"/>
    </row>
    <row r="67" spans="1:18" s="598" customFormat="1" ht="28.5" hidden="1">
      <c r="A67" s="630"/>
      <c r="B67" s="675" t="s">
        <v>1669</v>
      </c>
      <c r="C67" s="676"/>
      <c r="D67" s="677">
        <v>0</v>
      </c>
      <c r="E67" s="678"/>
      <c r="F67" s="676"/>
      <c r="G67" s="678"/>
      <c r="H67" s="1092">
        <v>0</v>
      </c>
      <c r="I67" s="1093"/>
      <c r="J67" s="1075">
        <f>D67+F67-H67</f>
        <v>0</v>
      </c>
      <c r="L67" s="642"/>
      <c r="M67" s="645"/>
      <c r="N67" s="645"/>
      <c r="O67" s="645"/>
      <c r="P67" s="645"/>
      <c r="Q67" s="645"/>
      <c r="R67" s="600"/>
    </row>
    <row r="68" spans="1:18" s="598" customFormat="1" ht="15" hidden="1">
      <c r="A68" s="630"/>
      <c r="B68" s="675" t="s">
        <v>1670</v>
      </c>
      <c r="C68" s="676"/>
      <c r="D68" s="677">
        <v>27607071080</v>
      </c>
      <c r="E68" s="678"/>
      <c r="F68" s="676">
        <v>0</v>
      </c>
      <c r="G68" s="678"/>
      <c r="H68" s="1092">
        <v>0</v>
      </c>
      <c r="I68" s="1093"/>
      <c r="J68" s="1075">
        <f>D68+F68-H68</f>
        <v>27607071080</v>
      </c>
      <c r="L68" s="642"/>
      <c r="M68" s="645"/>
      <c r="N68" s="645"/>
      <c r="O68" s="645"/>
      <c r="P68" s="645"/>
      <c r="Q68" s="645"/>
      <c r="R68" s="600"/>
    </row>
    <row r="69" spans="1:18" s="598" customFormat="1" ht="15" hidden="1">
      <c r="A69" s="630"/>
      <c r="B69" s="675" t="s">
        <v>1545</v>
      </c>
      <c r="C69" s="676"/>
      <c r="D69" s="677"/>
      <c r="E69" s="678"/>
      <c r="F69" s="676">
        <v>0</v>
      </c>
      <c r="G69" s="678"/>
      <c r="H69" s="1092">
        <v>0</v>
      </c>
      <c r="I69" s="1093"/>
      <c r="J69" s="1075">
        <f>D69+F69-H69</f>
        <v>0</v>
      </c>
      <c r="L69" s="642"/>
      <c r="M69" s="645"/>
      <c r="N69" s="645"/>
      <c r="O69" s="645"/>
      <c r="P69" s="645"/>
      <c r="Q69" s="645"/>
      <c r="R69" s="600"/>
    </row>
    <row r="70" spans="1:18" s="598" customFormat="1" ht="15" hidden="1">
      <c r="A70" s="630"/>
      <c r="B70" s="675" t="s">
        <v>1671</v>
      </c>
      <c r="C70" s="676"/>
      <c r="D70" s="677"/>
      <c r="E70" s="678"/>
      <c r="F70" s="676">
        <v>0</v>
      </c>
      <c r="G70" s="678"/>
      <c r="H70" s="1092">
        <v>0</v>
      </c>
      <c r="I70" s="1093"/>
      <c r="J70" s="1075">
        <f>D70+F70-H70</f>
        <v>0</v>
      </c>
      <c r="L70" s="642"/>
      <c r="M70" s="645"/>
      <c r="N70" s="645"/>
      <c r="O70" s="645"/>
      <c r="P70" s="645"/>
      <c r="Q70" s="645"/>
      <c r="R70" s="600"/>
    </row>
    <row r="71" spans="1:18" s="594" customFormat="1" ht="30" hidden="1">
      <c r="A71" s="610"/>
      <c r="B71" s="705" t="s">
        <v>1683</v>
      </c>
      <c r="C71" s="706"/>
      <c r="D71" s="707">
        <f>SUM(D72:D75)</f>
        <v>8530273892</v>
      </c>
      <c r="E71" s="708"/>
      <c r="F71" s="707">
        <f>SUM(F72:F75)</f>
        <v>1840471404</v>
      </c>
      <c r="G71" s="708"/>
      <c r="H71" s="1089">
        <f>SUM(H72:H75)</f>
        <v>0</v>
      </c>
      <c r="I71" s="1090"/>
      <c r="J71" s="1091">
        <f>SUM(J72:J75)</f>
        <v>10370745296</v>
      </c>
      <c r="L71" s="626"/>
      <c r="M71" s="632"/>
      <c r="N71" s="632"/>
      <c r="O71" s="632"/>
      <c r="P71" s="632"/>
      <c r="Q71" s="632"/>
      <c r="R71" s="596"/>
    </row>
    <row r="72" spans="1:18" s="598" customFormat="1" ht="28.5" hidden="1">
      <c r="A72" s="630"/>
      <c r="B72" s="675" t="s">
        <v>1669</v>
      </c>
      <c r="C72" s="676"/>
      <c r="D72" s="677"/>
      <c r="E72" s="678"/>
      <c r="F72" s="676"/>
      <c r="G72" s="678"/>
      <c r="H72" s="1092">
        <v>0</v>
      </c>
      <c r="I72" s="1093"/>
      <c r="J72" s="1075">
        <f>D72+F72-H72</f>
        <v>0</v>
      </c>
      <c r="L72" s="642"/>
      <c r="M72" s="645"/>
      <c r="N72" s="645"/>
      <c r="O72" s="645"/>
      <c r="P72" s="645"/>
      <c r="Q72" s="645"/>
      <c r="R72" s="600"/>
    </row>
    <row r="73" spans="1:18" s="598" customFormat="1" ht="15" hidden="1">
      <c r="A73" s="630"/>
      <c r="B73" s="675" t="s">
        <v>1670</v>
      </c>
      <c r="C73" s="676">
        <v>8530273892</v>
      </c>
      <c r="D73" s="677">
        <v>8530273892</v>
      </c>
      <c r="E73" s="678"/>
      <c r="F73" s="676">
        <v>1840471404</v>
      </c>
      <c r="G73" s="678"/>
      <c r="H73" s="1092">
        <v>0</v>
      </c>
      <c r="I73" s="1093"/>
      <c r="J73" s="1075">
        <f>D73+F73-H73</f>
        <v>10370745296</v>
      </c>
      <c r="L73" s="642"/>
      <c r="M73" s="645"/>
      <c r="N73" s="645"/>
      <c r="O73" s="645"/>
      <c r="P73" s="645"/>
      <c r="Q73" s="645"/>
      <c r="R73" s="600"/>
    </row>
    <row r="74" spans="1:18" s="598" customFormat="1" ht="15" hidden="1">
      <c r="A74" s="630"/>
      <c r="B74" s="675" t="s">
        <v>1545</v>
      </c>
      <c r="C74" s="676"/>
      <c r="D74" s="677">
        <v>0</v>
      </c>
      <c r="E74" s="678"/>
      <c r="F74" s="676">
        <v>0</v>
      </c>
      <c r="G74" s="678"/>
      <c r="H74" s="1092">
        <v>0</v>
      </c>
      <c r="I74" s="1093"/>
      <c r="J74" s="1075">
        <f>D74+F74-H74</f>
        <v>0</v>
      </c>
      <c r="L74" s="642"/>
      <c r="M74" s="645"/>
      <c r="N74" s="645"/>
      <c r="O74" s="645"/>
      <c r="P74" s="645"/>
      <c r="Q74" s="645"/>
      <c r="R74" s="600"/>
    </row>
    <row r="75" spans="1:18" s="598" customFormat="1" ht="15" hidden="1">
      <c r="A75" s="630"/>
      <c r="B75" s="675" t="s">
        <v>1671</v>
      </c>
      <c r="C75" s="676"/>
      <c r="D75" s="677">
        <v>0</v>
      </c>
      <c r="E75" s="678"/>
      <c r="F75" s="676">
        <v>0</v>
      </c>
      <c r="G75" s="678"/>
      <c r="H75" s="1092">
        <v>0</v>
      </c>
      <c r="I75" s="1093"/>
      <c r="J75" s="1075">
        <f>D75+F75-H75</f>
        <v>0</v>
      </c>
      <c r="L75" s="642"/>
      <c r="M75" s="645"/>
      <c r="N75" s="645"/>
      <c r="O75" s="645"/>
      <c r="P75" s="645"/>
      <c r="Q75" s="645"/>
      <c r="R75" s="600"/>
    </row>
    <row r="76" spans="1:18" s="594" customFormat="1" ht="45" hidden="1">
      <c r="A76" s="610"/>
      <c r="B76" s="705" t="s">
        <v>1672</v>
      </c>
      <c r="C76" s="706"/>
      <c r="D76" s="707">
        <f>SUM(D77:D80)</f>
        <v>19076797188</v>
      </c>
      <c r="E76" s="708"/>
      <c r="F76" s="707">
        <f>SUM(F77:F80)</f>
        <v>0</v>
      </c>
      <c r="G76" s="708"/>
      <c r="H76" s="1089">
        <f>SUM(H77:H80)</f>
        <v>0</v>
      </c>
      <c r="I76" s="1090"/>
      <c r="J76" s="1091">
        <f>SUM(J77:J80)</f>
        <v>17236325784</v>
      </c>
      <c r="L76" s="626"/>
      <c r="M76" s="632"/>
      <c r="N76" s="632"/>
      <c r="O76" s="632"/>
      <c r="P76" s="632"/>
      <c r="Q76" s="632"/>
      <c r="R76" s="596"/>
    </row>
    <row r="77" spans="1:18" s="598" customFormat="1" ht="28.5" hidden="1">
      <c r="A77" s="630"/>
      <c r="B77" s="675" t="s">
        <v>1669</v>
      </c>
      <c r="C77" s="676">
        <f>C66-C72</f>
        <v>0</v>
      </c>
      <c r="D77" s="677">
        <f>D67-D72</f>
        <v>0</v>
      </c>
      <c r="E77" s="678"/>
      <c r="F77" s="676">
        <v>0</v>
      </c>
      <c r="G77" s="678"/>
      <c r="H77" s="1092">
        <v>0</v>
      </c>
      <c r="I77" s="1093"/>
      <c r="J77" s="1075">
        <f>J67-J72</f>
        <v>0</v>
      </c>
      <c r="L77" s="642"/>
      <c r="M77" s="645"/>
      <c r="N77" s="645"/>
      <c r="O77" s="645"/>
      <c r="P77" s="645"/>
      <c r="Q77" s="645"/>
      <c r="R77" s="600"/>
    </row>
    <row r="78" spans="1:18" s="598" customFormat="1" ht="15" hidden="1">
      <c r="A78" s="630"/>
      <c r="B78" s="675" t="s">
        <v>1670</v>
      </c>
      <c r="C78" s="676">
        <f>C67-C73</f>
        <v>-8530273892</v>
      </c>
      <c r="D78" s="677">
        <f>D68-D73</f>
        <v>19076797188</v>
      </c>
      <c r="E78" s="678"/>
      <c r="F78" s="676">
        <v>0</v>
      </c>
      <c r="G78" s="678"/>
      <c r="H78" s="1092">
        <v>0</v>
      </c>
      <c r="I78" s="1093"/>
      <c r="J78" s="1075">
        <f>J68-J73</f>
        <v>17236325784</v>
      </c>
      <c r="L78" s="642"/>
      <c r="M78" s="645"/>
      <c r="N78" s="645"/>
      <c r="O78" s="645"/>
      <c r="P78" s="645"/>
      <c r="Q78" s="645"/>
      <c r="R78" s="600"/>
    </row>
    <row r="79" spans="1:18" s="598" customFormat="1" ht="15" hidden="1">
      <c r="A79" s="630"/>
      <c r="B79" s="675" t="s">
        <v>1545</v>
      </c>
      <c r="C79" s="676">
        <f>C68-C74</f>
        <v>0</v>
      </c>
      <c r="D79" s="677">
        <f>D69-D74</f>
        <v>0</v>
      </c>
      <c r="E79" s="678"/>
      <c r="F79" s="676">
        <v>0</v>
      </c>
      <c r="G79" s="678"/>
      <c r="H79" s="1092">
        <v>0</v>
      </c>
      <c r="I79" s="1093"/>
      <c r="J79" s="1075">
        <f>J69-J74</f>
        <v>0</v>
      </c>
      <c r="L79" s="642"/>
      <c r="M79" s="645"/>
      <c r="N79" s="645"/>
      <c r="O79" s="645"/>
      <c r="P79" s="645"/>
      <c r="Q79" s="645"/>
      <c r="R79" s="600"/>
    </row>
    <row r="80" spans="1:18" s="598" customFormat="1" ht="15" hidden="1">
      <c r="A80" s="630"/>
      <c r="B80" s="679" t="s">
        <v>1671</v>
      </c>
      <c r="C80" s="680">
        <f>C69-C75</f>
        <v>0</v>
      </c>
      <c r="D80" s="681">
        <f>D70-D75</f>
        <v>0</v>
      </c>
      <c r="E80" s="682"/>
      <c r="F80" s="680">
        <v>0</v>
      </c>
      <c r="G80" s="682"/>
      <c r="H80" s="1094">
        <v>0</v>
      </c>
      <c r="I80" s="1095"/>
      <c r="J80" s="1096">
        <f>J70-J75</f>
        <v>0</v>
      </c>
      <c r="L80" s="642"/>
      <c r="M80" s="645"/>
      <c r="N80" s="645"/>
      <c r="O80" s="645"/>
      <c r="P80" s="645"/>
      <c r="Q80" s="645"/>
      <c r="R80" s="600"/>
    </row>
    <row r="81" spans="1:18" s="598" customFormat="1" ht="15" hidden="1">
      <c r="A81" s="630"/>
      <c r="B81" s="608"/>
      <c r="H81" s="1058"/>
      <c r="I81" s="1058"/>
      <c r="J81" s="1058"/>
      <c r="L81" s="642"/>
      <c r="M81" s="645"/>
      <c r="N81" s="645"/>
      <c r="O81" s="645"/>
      <c r="P81" s="645"/>
      <c r="Q81" s="645"/>
      <c r="R81" s="600"/>
    </row>
    <row r="82" spans="1:18" s="598" customFormat="1" ht="15" hidden="1">
      <c r="A82" s="610" t="s">
        <v>676</v>
      </c>
      <c r="B82" s="604" t="s">
        <v>165</v>
      </c>
      <c r="H82" s="595"/>
      <c r="I82" s="595"/>
      <c r="J82" s="595"/>
      <c r="L82" s="626"/>
      <c r="M82" s="632"/>
      <c r="N82" s="632"/>
      <c r="O82" s="632"/>
      <c r="P82" s="632"/>
      <c r="Q82" s="632"/>
      <c r="R82" s="596"/>
    </row>
    <row r="83" spans="1:18" s="598" customFormat="1" ht="15" hidden="1">
      <c r="A83" s="610"/>
      <c r="B83" s="604"/>
      <c r="H83" s="614"/>
      <c r="I83" s="613"/>
      <c r="J83" s="614"/>
      <c r="L83" s="626"/>
      <c r="M83" s="632"/>
      <c r="N83" s="632"/>
      <c r="O83" s="632"/>
      <c r="P83" s="632"/>
      <c r="Q83" s="632"/>
      <c r="R83" s="596"/>
    </row>
    <row r="84" spans="1:18" s="594" customFormat="1" ht="15" hidden="1" customHeight="1">
      <c r="B84" s="1701" t="s">
        <v>712</v>
      </c>
      <c r="C84" s="1724"/>
      <c r="D84" s="1698">
        <v>41090</v>
      </c>
      <c r="E84" s="1699"/>
      <c r="F84" s="1700"/>
      <c r="G84" s="1271"/>
      <c r="H84" s="1699">
        <v>40909</v>
      </c>
      <c r="I84" s="1699"/>
      <c r="J84" s="1700"/>
      <c r="L84" s="626"/>
      <c r="M84" s="632"/>
      <c r="N84" s="632"/>
      <c r="O84" s="632"/>
      <c r="P84" s="632"/>
      <c r="Q84" s="632"/>
      <c r="R84" s="596"/>
    </row>
    <row r="85" spans="1:18" s="594" customFormat="1" ht="15" hidden="1">
      <c r="B85" s="1702"/>
      <c r="C85" s="1725"/>
      <c r="D85" s="652" t="s">
        <v>160</v>
      </c>
      <c r="E85" s="651"/>
      <c r="F85" s="650" t="s">
        <v>161</v>
      </c>
      <c r="G85" s="1268"/>
      <c r="H85" s="1269" t="s">
        <v>160</v>
      </c>
      <c r="I85" s="1272"/>
      <c r="J85" s="651" t="s">
        <v>161</v>
      </c>
      <c r="L85" s="626"/>
      <c r="M85" s="632"/>
      <c r="N85" s="632"/>
      <c r="O85" s="632"/>
      <c r="P85" s="632"/>
      <c r="Q85" s="632"/>
      <c r="R85" s="596"/>
    </row>
    <row r="86" spans="1:18" s="594" customFormat="1" ht="15" hidden="1">
      <c r="B86" s="1259"/>
      <c r="C86" s="601"/>
      <c r="D86" s="1273"/>
      <c r="E86" s="601"/>
      <c r="F86" s="1328"/>
      <c r="G86" s="1265"/>
      <c r="H86" s="621"/>
      <c r="I86" s="1273"/>
      <c r="J86" s="1258"/>
      <c r="L86" s="626"/>
      <c r="M86" s="632"/>
      <c r="N86" s="632"/>
      <c r="O86" s="632"/>
      <c r="P86" s="632"/>
      <c r="Q86" s="632"/>
      <c r="R86" s="596"/>
    </row>
    <row r="87" spans="1:18" s="594" customFormat="1" ht="15" hidden="1">
      <c r="B87" s="1257" t="s">
        <v>302</v>
      </c>
      <c r="C87" s="601"/>
      <c r="D87" s="1274">
        <f>SUM(D88:D103)</f>
        <v>0</v>
      </c>
      <c r="E87" s="601"/>
      <c r="F87" s="1274">
        <f>SUM(F88:F103)</f>
        <v>0</v>
      </c>
      <c r="G87" s="1274">
        <f>SUM(G100:G103)</f>
        <v>0</v>
      </c>
      <c r="H87" s="1329">
        <f>SUM(H88:H103)</f>
        <v>0</v>
      </c>
      <c r="I87" s="1274">
        <f>SUM(I100:I103)</f>
        <v>0</v>
      </c>
      <c r="J87" s="1329">
        <f>SUM(J88:J103)</f>
        <v>0</v>
      </c>
      <c r="L87" s="626">
        <f>F87-BS!L63</f>
        <v>-38173463082</v>
      </c>
      <c r="M87" s="632"/>
      <c r="N87" s="674">
        <f>J87-BS!N63</f>
        <v>-36733664082</v>
      </c>
      <c r="O87" s="632"/>
      <c r="P87" s="632"/>
      <c r="Q87" s="632"/>
      <c r="R87" s="596"/>
    </row>
    <row r="88" spans="1:18" s="594" customFormat="1" ht="15" hidden="1">
      <c r="B88" s="1259" t="s">
        <v>1653</v>
      </c>
      <c r="C88" s="601"/>
      <c r="D88" s="1401"/>
      <c r="E88" s="1402"/>
      <c r="F88" s="1401"/>
      <c r="G88" s="1401"/>
      <c r="H88" s="1403"/>
      <c r="I88" s="1401"/>
      <c r="J88" s="1404"/>
      <c r="L88" s="626"/>
      <c r="M88" s="632"/>
      <c r="N88" s="674"/>
      <c r="O88" s="632"/>
      <c r="P88" s="632"/>
      <c r="Q88" s="632"/>
      <c r="R88" s="596"/>
    </row>
    <row r="89" spans="1:18" s="594" customFormat="1" ht="15" hidden="1">
      <c r="B89" s="1259" t="s">
        <v>1654</v>
      </c>
      <c r="C89" s="601"/>
      <c r="D89" s="1401"/>
      <c r="E89" s="1402"/>
      <c r="F89" s="1401"/>
      <c r="G89" s="1401"/>
      <c r="H89" s="1403"/>
      <c r="I89" s="1401"/>
      <c r="J89" s="1404"/>
      <c r="L89" s="626"/>
      <c r="M89" s="632"/>
      <c r="N89" s="674"/>
      <c r="O89" s="632"/>
      <c r="P89" s="632"/>
      <c r="Q89" s="632"/>
      <c r="R89" s="596"/>
    </row>
    <row r="90" spans="1:18" s="594" customFormat="1" ht="15" hidden="1">
      <c r="B90" s="1259" t="s">
        <v>1655</v>
      </c>
      <c r="C90" s="601"/>
      <c r="D90" s="1401"/>
      <c r="E90" s="1402"/>
      <c r="F90" s="1401"/>
      <c r="G90" s="1401"/>
      <c r="H90" s="1403"/>
      <c r="I90" s="1401"/>
      <c r="J90" s="1404"/>
      <c r="L90" s="626"/>
      <c r="M90" s="632"/>
      <c r="N90" s="674"/>
      <c r="O90" s="632"/>
      <c r="P90" s="632"/>
      <c r="Q90" s="632"/>
      <c r="R90" s="596"/>
    </row>
    <row r="91" spans="1:18" s="594" customFormat="1" ht="15" hidden="1">
      <c r="B91" s="1259" t="s">
        <v>1656</v>
      </c>
      <c r="C91" s="601"/>
      <c r="D91" s="1401"/>
      <c r="E91" s="1402"/>
      <c r="F91" s="1401"/>
      <c r="G91" s="1401"/>
      <c r="H91" s="1403"/>
      <c r="I91" s="1401"/>
      <c r="J91" s="1404"/>
      <c r="L91" s="626"/>
      <c r="M91" s="632"/>
      <c r="N91" s="674"/>
      <c r="O91" s="632"/>
      <c r="P91" s="632"/>
      <c r="Q91" s="632"/>
      <c r="R91" s="596"/>
    </row>
    <row r="92" spans="1:18" s="594" customFormat="1" ht="15" hidden="1">
      <c r="B92" s="1259" t="s">
        <v>1657</v>
      </c>
      <c r="C92" s="601"/>
      <c r="D92" s="1401"/>
      <c r="E92" s="1402"/>
      <c r="F92" s="1401"/>
      <c r="G92" s="1401"/>
      <c r="H92" s="1403"/>
      <c r="I92" s="1401"/>
      <c r="J92" s="1404"/>
      <c r="L92" s="626"/>
      <c r="M92" s="632"/>
      <c r="N92" s="674"/>
      <c r="O92" s="632"/>
      <c r="P92" s="632"/>
      <c r="Q92" s="632"/>
      <c r="R92" s="596"/>
    </row>
    <row r="93" spans="1:18" s="594" customFormat="1" ht="15" hidden="1">
      <c r="B93" s="1259" t="s">
        <v>1658</v>
      </c>
      <c r="C93" s="601"/>
      <c r="D93" s="1401"/>
      <c r="E93" s="1402"/>
      <c r="F93" s="1401"/>
      <c r="G93" s="1401"/>
      <c r="H93" s="1403"/>
      <c r="I93" s="1401"/>
      <c r="J93" s="1404"/>
      <c r="L93" s="626"/>
      <c r="M93" s="632"/>
      <c r="N93" s="674"/>
      <c r="O93" s="632"/>
      <c r="P93" s="632"/>
      <c r="Q93" s="632"/>
      <c r="R93" s="596"/>
    </row>
    <row r="94" spans="1:18" s="594" customFormat="1" ht="15" hidden="1">
      <c r="B94" s="1259" t="s">
        <v>1607</v>
      </c>
      <c r="C94" s="601"/>
      <c r="D94" s="1401"/>
      <c r="E94" s="1402"/>
      <c r="F94" s="1401"/>
      <c r="G94" s="1401"/>
      <c r="H94" s="1403"/>
      <c r="I94" s="1401"/>
      <c r="J94" s="1404"/>
      <c r="L94" s="626"/>
      <c r="M94" s="632"/>
      <c r="N94" s="674"/>
      <c r="O94" s="632"/>
      <c r="P94" s="632"/>
      <c r="Q94" s="632"/>
      <c r="R94" s="596"/>
    </row>
    <row r="95" spans="1:18" s="594" customFormat="1" ht="15" hidden="1">
      <c r="B95" s="1259"/>
      <c r="C95" s="601"/>
      <c r="D95" s="1401"/>
      <c r="E95" s="1402"/>
      <c r="F95" s="1401"/>
      <c r="G95" s="1401"/>
      <c r="H95" s="1403"/>
      <c r="I95" s="1401"/>
      <c r="J95" s="1404"/>
      <c r="L95" s="626"/>
      <c r="M95" s="632"/>
      <c r="N95" s="674"/>
      <c r="O95" s="632"/>
      <c r="P95" s="632"/>
      <c r="Q95" s="632"/>
      <c r="R95" s="596"/>
    </row>
    <row r="96" spans="1:18" s="594" customFormat="1" ht="15" hidden="1">
      <c r="B96" s="1259"/>
      <c r="C96" s="601"/>
      <c r="D96" s="1401"/>
      <c r="E96" s="1402"/>
      <c r="F96" s="1401"/>
      <c r="G96" s="1401"/>
      <c r="H96" s="1403"/>
      <c r="I96" s="1401"/>
      <c r="J96" s="1404"/>
      <c r="L96" s="626"/>
      <c r="M96" s="632"/>
      <c r="N96" s="674"/>
      <c r="O96" s="632"/>
      <c r="P96" s="632"/>
      <c r="Q96" s="632"/>
      <c r="R96" s="596"/>
    </row>
    <row r="97" spans="1:18" s="594" customFormat="1" ht="15" hidden="1">
      <c r="B97" s="1259"/>
      <c r="C97" s="601"/>
      <c r="D97" s="1401"/>
      <c r="E97" s="1402"/>
      <c r="F97" s="1401"/>
      <c r="G97" s="1401"/>
      <c r="H97" s="1403"/>
      <c r="I97" s="1401"/>
      <c r="J97" s="1404"/>
      <c r="L97" s="626"/>
      <c r="M97" s="632"/>
      <c r="N97" s="674"/>
      <c r="O97" s="632"/>
      <c r="P97" s="632"/>
      <c r="Q97" s="632"/>
      <c r="R97" s="596"/>
    </row>
    <row r="98" spans="1:18" s="594" customFormat="1" ht="15" hidden="1">
      <c r="B98" s="1259"/>
      <c r="C98" s="601"/>
      <c r="D98" s="1401"/>
      <c r="E98" s="1402"/>
      <c r="F98" s="1401"/>
      <c r="G98" s="1401"/>
      <c r="H98" s="1403"/>
      <c r="I98" s="1401"/>
      <c r="J98" s="1404"/>
      <c r="L98" s="626"/>
      <c r="M98" s="632"/>
      <c r="N98" s="674"/>
      <c r="O98" s="632"/>
      <c r="P98" s="632"/>
      <c r="Q98" s="632"/>
      <c r="R98" s="596"/>
    </row>
    <row r="99" spans="1:18" s="594" customFormat="1" ht="15" hidden="1">
      <c r="B99" s="1259"/>
      <c r="C99" s="601"/>
      <c r="D99" s="1401"/>
      <c r="E99" s="1402"/>
      <c r="F99" s="1401"/>
      <c r="G99" s="1401"/>
      <c r="H99" s="1403"/>
      <c r="I99" s="1401"/>
      <c r="J99" s="1404"/>
      <c r="L99" s="626"/>
      <c r="M99" s="632"/>
      <c r="N99" s="674"/>
      <c r="O99" s="632"/>
      <c r="P99" s="632"/>
      <c r="Q99" s="632"/>
      <c r="R99" s="596"/>
    </row>
    <row r="100" spans="1:18" s="594" customFormat="1" ht="15" hidden="1">
      <c r="B100" s="1259"/>
      <c r="C100" s="601"/>
      <c r="D100" s="1331"/>
      <c r="E100" s="1255"/>
      <c r="F100" s="1331"/>
      <c r="G100" s="1331"/>
      <c r="H100" s="1254"/>
      <c r="I100" s="1405"/>
      <c r="J100" s="1332"/>
      <c r="L100" s="626"/>
      <c r="M100" s="632"/>
      <c r="N100" s="632"/>
      <c r="O100" s="632"/>
      <c r="P100" s="632"/>
      <c r="Q100" s="632"/>
      <c r="R100" s="596"/>
    </row>
    <row r="101" spans="1:18" s="598" customFormat="1" ht="15" hidden="1">
      <c r="B101" s="1259"/>
      <c r="C101" s="601"/>
      <c r="D101" s="1331"/>
      <c r="E101" s="1255"/>
      <c r="F101" s="1331"/>
      <c r="G101" s="1331"/>
      <c r="H101" s="1254"/>
      <c r="I101" s="1405"/>
      <c r="J101" s="1406"/>
      <c r="L101" s="626"/>
      <c r="M101" s="632"/>
      <c r="N101" s="632"/>
      <c r="O101" s="632"/>
      <c r="P101" s="632"/>
      <c r="Q101" s="632"/>
      <c r="R101" s="596"/>
    </row>
    <row r="102" spans="1:18" s="598" customFormat="1" ht="15" hidden="1">
      <c r="B102" s="1259"/>
      <c r="C102" s="601"/>
      <c r="D102" s="1331"/>
      <c r="E102" s="1255"/>
      <c r="F102" s="1331"/>
      <c r="G102" s="1331"/>
      <c r="H102" s="1254"/>
      <c r="I102" s="1405"/>
      <c r="J102" s="1332"/>
      <c r="L102" s="626"/>
      <c r="M102" s="632"/>
      <c r="N102" s="632"/>
      <c r="O102" s="632"/>
      <c r="P102" s="632"/>
      <c r="Q102" s="632"/>
      <c r="R102" s="596"/>
    </row>
    <row r="103" spans="1:18" s="598" customFormat="1" ht="15" hidden="1">
      <c r="B103" s="1259"/>
      <c r="C103" s="601"/>
      <c r="D103" s="1331"/>
      <c r="E103" s="1255"/>
      <c r="F103" s="1331"/>
      <c r="G103" s="1331"/>
      <c r="H103" s="1254"/>
      <c r="I103" s="1405"/>
      <c r="J103" s="1332"/>
      <c r="L103" s="626"/>
      <c r="M103" s="632"/>
      <c r="N103" s="632"/>
      <c r="O103" s="632"/>
      <c r="P103" s="632"/>
      <c r="Q103" s="632"/>
      <c r="R103" s="596"/>
    </row>
    <row r="104" spans="1:18" s="598" customFormat="1" ht="15" hidden="1">
      <c r="B104" s="1355" t="s">
        <v>166</v>
      </c>
      <c r="C104" s="601"/>
      <c r="D104" s="1330"/>
      <c r="E104" s="600"/>
      <c r="F104" s="1356">
        <v>0</v>
      </c>
      <c r="G104" s="600"/>
      <c r="H104" s="1258"/>
      <c r="I104" s="621"/>
      <c r="J104" s="1261">
        <v>0</v>
      </c>
      <c r="L104" s="626"/>
      <c r="M104" s="632"/>
      <c r="N104" s="632"/>
      <c r="O104" s="632"/>
      <c r="P104" s="632"/>
      <c r="Q104" s="632"/>
      <c r="R104" s="596"/>
    </row>
    <row r="105" spans="1:18" s="598" customFormat="1" ht="15" hidden="1">
      <c r="B105" s="1257"/>
      <c r="C105" s="601"/>
      <c r="D105" s="1330"/>
      <c r="E105" s="600"/>
      <c r="F105" s="1356"/>
      <c r="G105" s="600"/>
      <c r="H105" s="1258"/>
      <c r="I105" s="621"/>
      <c r="J105" s="1261"/>
      <c r="L105" s="626"/>
      <c r="M105" s="632"/>
      <c r="N105" s="632"/>
      <c r="O105" s="632"/>
      <c r="P105" s="632"/>
      <c r="Q105" s="632"/>
      <c r="R105" s="596"/>
    </row>
    <row r="106" spans="1:18" s="598" customFormat="1" ht="15" hidden="1">
      <c r="B106" s="1259" t="s">
        <v>163</v>
      </c>
      <c r="C106" s="601"/>
      <c r="D106" s="1330"/>
      <c r="E106" s="600"/>
      <c r="F106" s="1356"/>
      <c r="G106" s="600"/>
      <c r="H106" s="1258"/>
      <c r="I106" s="621"/>
      <c r="J106" s="1261"/>
      <c r="L106" s="626"/>
      <c r="M106" s="632"/>
      <c r="N106" s="632"/>
      <c r="O106" s="632"/>
      <c r="P106" s="632"/>
      <c r="Q106" s="632"/>
      <c r="R106" s="596"/>
    </row>
    <row r="107" spans="1:18" s="598" customFormat="1" ht="15" hidden="1" customHeight="1">
      <c r="B107" s="1704"/>
      <c r="C107" s="1713"/>
      <c r="D107" s="1713"/>
      <c r="E107" s="1713"/>
      <c r="F107" s="1713"/>
      <c r="G107" s="1713"/>
      <c r="H107" s="1713"/>
      <c r="I107" s="1713"/>
      <c r="J107" s="1714"/>
      <c r="L107" s="626"/>
      <c r="M107" s="632"/>
      <c r="N107" s="632"/>
      <c r="O107" s="632"/>
      <c r="P107" s="632"/>
      <c r="Q107" s="632"/>
      <c r="R107" s="596"/>
    </row>
    <row r="108" spans="1:18" s="598" customFormat="1" ht="15" hidden="1">
      <c r="B108" s="1357" t="s">
        <v>164</v>
      </c>
      <c r="C108" s="601"/>
      <c r="D108" s="1330"/>
      <c r="E108" s="600"/>
      <c r="F108" s="1358"/>
      <c r="G108" s="600"/>
      <c r="H108" s="1258"/>
      <c r="I108" s="621"/>
      <c r="J108" s="1261"/>
      <c r="L108" s="626"/>
      <c r="M108" s="632"/>
      <c r="N108" s="632"/>
      <c r="O108" s="632"/>
      <c r="P108" s="632"/>
      <c r="Q108" s="632"/>
      <c r="R108" s="596"/>
    </row>
    <row r="109" spans="1:18" s="594" customFormat="1" ht="15" hidden="1">
      <c r="B109" s="1263"/>
      <c r="C109" s="602"/>
      <c r="D109" s="1359"/>
      <c r="E109" s="1360"/>
      <c r="F109" s="1277"/>
      <c r="G109" s="1360"/>
      <c r="H109" s="603"/>
      <c r="I109" s="1278"/>
      <c r="J109" s="1264"/>
      <c r="L109" s="626"/>
      <c r="M109" s="632"/>
      <c r="N109" s="632"/>
      <c r="O109" s="632"/>
      <c r="P109" s="632"/>
      <c r="Q109" s="632"/>
      <c r="R109" s="596"/>
    </row>
    <row r="110" spans="1:18" s="594" customFormat="1" ht="15" hidden="1">
      <c r="B110" s="1407"/>
      <c r="C110" s="601"/>
      <c r="D110" s="600"/>
      <c r="E110" s="600"/>
      <c r="F110" s="600"/>
      <c r="G110" s="600"/>
      <c r="H110" s="621"/>
      <c r="I110" s="621"/>
      <c r="J110" s="621"/>
      <c r="L110" s="626"/>
      <c r="M110" s="632"/>
      <c r="N110" s="632"/>
      <c r="O110" s="632"/>
      <c r="P110" s="632"/>
      <c r="Q110" s="632"/>
      <c r="R110" s="596"/>
    </row>
    <row r="111" spans="1:18" s="594" customFormat="1" ht="15" hidden="1">
      <c r="A111" s="610" t="s">
        <v>678</v>
      </c>
      <c r="B111" s="604" t="s">
        <v>1608</v>
      </c>
      <c r="C111" s="601"/>
      <c r="D111" s="600"/>
      <c r="E111" s="600"/>
      <c r="F111" s="600"/>
      <c r="G111" s="600"/>
      <c r="H111" s="612" t="s">
        <v>637</v>
      </c>
      <c r="I111" s="613"/>
      <c r="J111" s="1136" t="s">
        <v>256</v>
      </c>
      <c r="L111" s="626"/>
      <c r="M111" s="632"/>
      <c r="N111" s="632"/>
      <c r="O111" s="632"/>
      <c r="P111" s="632"/>
      <c r="Q111" s="632"/>
      <c r="R111" s="596"/>
    </row>
    <row r="112" spans="1:18" s="594" customFormat="1" ht="6.75" hidden="1" customHeight="1">
      <c r="A112" s="610"/>
      <c r="B112" s="604"/>
      <c r="C112" s="601"/>
      <c r="D112" s="600"/>
      <c r="E112" s="600"/>
      <c r="F112" s="600"/>
      <c r="G112" s="600"/>
      <c r="H112" s="614"/>
      <c r="I112" s="613"/>
      <c r="J112" s="1410"/>
      <c r="L112" s="626"/>
      <c r="M112" s="632"/>
      <c r="N112" s="632"/>
      <c r="O112" s="632"/>
      <c r="P112" s="632"/>
      <c r="Q112" s="632"/>
      <c r="R112" s="596"/>
    </row>
    <row r="113" spans="2:18" s="594" customFormat="1" ht="15" hidden="1">
      <c r="B113" s="1407" t="s">
        <v>1293</v>
      </c>
      <c r="C113" s="601"/>
      <c r="D113" s="600"/>
      <c r="E113" s="600"/>
      <c r="F113" s="600"/>
      <c r="G113" s="600"/>
      <c r="H113" s="621">
        <v>15897438406</v>
      </c>
      <c r="I113" s="621"/>
      <c r="J113" s="621">
        <v>33626484267</v>
      </c>
      <c r="L113" s="626"/>
      <c r="M113" s="632"/>
      <c r="N113" s="632"/>
      <c r="O113" s="632"/>
      <c r="P113" s="632"/>
      <c r="Q113" s="632"/>
      <c r="R113" s="596"/>
    </row>
    <row r="114" spans="2:18" s="594" customFormat="1" ht="14.25" hidden="1" customHeight="1">
      <c r="B114" s="1310" t="s">
        <v>1072</v>
      </c>
      <c r="C114" s="601"/>
      <c r="D114" s="600"/>
      <c r="E114" s="600"/>
      <c r="F114" s="600"/>
      <c r="G114" s="600"/>
      <c r="H114" s="646">
        <v>15897438406</v>
      </c>
      <c r="I114" s="646"/>
      <c r="J114" s="646">
        <v>33626484267</v>
      </c>
      <c r="L114" s="626"/>
      <c r="M114" s="632"/>
      <c r="N114" s="632"/>
      <c r="O114" s="632"/>
      <c r="P114" s="632"/>
      <c r="Q114" s="632"/>
      <c r="R114" s="596"/>
    </row>
    <row r="115" spans="2:18" s="594" customFormat="1" ht="16.5" hidden="1" customHeight="1">
      <c r="B115" s="1407" t="s">
        <v>1129</v>
      </c>
      <c r="C115" s="601"/>
      <c r="D115" s="600"/>
      <c r="E115" s="600"/>
      <c r="F115" s="600"/>
      <c r="G115" s="600"/>
      <c r="H115" s="621"/>
      <c r="I115" s="621"/>
      <c r="J115" s="621">
        <v>0</v>
      </c>
      <c r="L115" s="626"/>
      <c r="M115" s="632"/>
      <c r="N115" s="632"/>
      <c r="O115" s="632"/>
      <c r="P115" s="632"/>
      <c r="Q115" s="632"/>
      <c r="R115" s="596"/>
    </row>
    <row r="116" spans="2:18" s="594" customFormat="1" ht="1.5" hidden="1" customHeight="1">
      <c r="B116" s="1407"/>
      <c r="C116" s="601"/>
      <c r="D116" s="600"/>
      <c r="E116" s="600"/>
      <c r="F116" s="600"/>
      <c r="G116" s="600"/>
      <c r="H116" s="621"/>
      <c r="I116" s="621"/>
      <c r="J116" s="621"/>
      <c r="L116" s="626"/>
      <c r="M116" s="632"/>
      <c r="N116" s="632"/>
      <c r="O116" s="632"/>
      <c r="P116" s="632"/>
      <c r="Q116" s="632"/>
      <c r="R116" s="596"/>
    </row>
    <row r="117" spans="2:18" s="594" customFormat="1" ht="15" hidden="1">
      <c r="B117" s="1407" t="s">
        <v>302</v>
      </c>
      <c r="C117" s="601"/>
      <c r="D117" s="600"/>
      <c r="E117" s="600"/>
      <c r="F117" s="600"/>
      <c r="G117" s="600"/>
      <c r="H117" s="621">
        <f>SUM(H118:H124)</f>
        <v>19764486082</v>
      </c>
      <c r="I117" s="621"/>
      <c r="J117" s="621">
        <f>SUM(J118:J124)</f>
        <v>18324687082</v>
      </c>
      <c r="L117" s="626"/>
      <c r="M117" s="632"/>
      <c r="N117" s="632"/>
      <c r="O117" s="632"/>
      <c r="P117" s="632"/>
      <c r="Q117" s="632"/>
      <c r="R117" s="596"/>
    </row>
    <row r="118" spans="2:18" s="631" customFormat="1" ht="15" hidden="1">
      <c r="B118" s="1310" t="s">
        <v>1653</v>
      </c>
      <c r="C118" s="645"/>
      <c r="D118" s="642"/>
      <c r="E118" s="642"/>
      <c r="F118" s="642"/>
      <c r="G118" s="642"/>
      <c r="H118" s="646">
        <v>2879799000</v>
      </c>
      <c r="I118" s="646"/>
      <c r="J118" s="646">
        <v>1440000000</v>
      </c>
      <c r="L118" s="626"/>
      <c r="M118" s="632"/>
      <c r="N118" s="632"/>
      <c r="O118" s="632"/>
      <c r="P118" s="632"/>
      <c r="Q118" s="632"/>
      <c r="R118" s="626"/>
    </row>
    <row r="119" spans="2:18" s="631" customFormat="1" ht="15" hidden="1">
      <c r="B119" s="1310" t="s">
        <v>1654</v>
      </c>
      <c r="C119" s="645"/>
      <c r="D119" s="642"/>
      <c r="E119" s="642"/>
      <c r="F119" s="642"/>
      <c r="G119" s="642"/>
      <c r="H119" s="646">
        <v>300000000</v>
      </c>
      <c r="I119" s="646"/>
      <c r="J119" s="646">
        <v>300000000</v>
      </c>
      <c r="L119" s="626"/>
      <c r="M119" s="632"/>
      <c r="N119" s="632"/>
      <c r="O119" s="632"/>
      <c r="P119" s="632"/>
      <c r="Q119" s="632"/>
      <c r="R119" s="626"/>
    </row>
    <row r="120" spans="2:18" s="631" customFormat="1" ht="15" hidden="1">
      <c r="B120" s="1310" t="s">
        <v>1655</v>
      </c>
      <c r="C120" s="645"/>
      <c r="D120" s="642"/>
      <c r="E120" s="642"/>
      <c r="F120" s="642"/>
      <c r="G120" s="642"/>
      <c r="H120" s="646">
        <v>1032200000</v>
      </c>
      <c r="I120" s="646"/>
      <c r="J120" s="646">
        <v>1032200000</v>
      </c>
      <c r="L120" s="626"/>
      <c r="M120" s="632"/>
      <c r="N120" s="632"/>
      <c r="O120" s="632"/>
      <c r="P120" s="632"/>
      <c r="Q120" s="632"/>
      <c r="R120" s="626"/>
    </row>
    <row r="121" spans="2:18" s="631" customFormat="1" ht="15" hidden="1">
      <c r="B121" s="1310" t="s">
        <v>1656</v>
      </c>
      <c r="C121" s="645"/>
      <c r="D121" s="642"/>
      <c r="E121" s="642"/>
      <c r="F121" s="642"/>
      <c r="G121" s="642"/>
      <c r="H121" s="646">
        <v>13262487082</v>
      </c>
      <c r="I121" s="646"/>
      <c r="J121" s="646">
        <v>13262487082</v>
      </c>
      <c r="L121" s="626"/>
      <c r="M121" s="632"/>
      <c r="N121" s="632"/>
      <c r="O121" s="632"/>
      <c r="P121" s="632"/>
      <c r="Q121" s="632"/>
      <c r="R121" s="626"/>
    </row>
    <row r="122" spans="2:18" s="631" customFormat="1" ht="15" hidden="1">
      <c r="B122" s="1310" t="s">
        <v>489</v>
      </c>
      <c r="C122" s="645"/>
      <c r="D122" s="642"/>
      <c r="E122" s="642"/>
      <c r="F122" s="642"/>
      <c r="G122" s="642"/>
      <c r="H122" s="646">
        <v>2000000000</v>
      </c>
      <c r="I122" s="646"/>
      <c r="J122" s="646">
        <v>2000000000</v>
      </c>
      <c r="L122" s="626"/>
      <c r="M122" s="632"/>
      <c r="N122" s="632"/>
      <c r="O122" s="632"/>
      <c r="P122" s="632"/>
      <c r="Q122" s="632"/>
      <c r="R122" s="626"/>
    </row>
    <row r="123" spans="2:18" s="631" customFormat="1" ht="15" hidden="1">
      <c r="B123" s="1310" t="s">
        <v>1658</v>
      </c>
      <c r="C123" s="645"/>
      <c r="D123" s="642"/>
      <c r="E123" s="642"/>
      <c r="F123" s="642"/>
      <c r="G123" s="642"/>
      <c r="H123" s="646">
        <v>290000000</v>
      </c>
      <c r="I123" s="646"/>
      <c r="J123" s="646">
        <v>290000000</v>
      </c>
      <c r="L123" s="626"/>
      <c r="M123" s="632"/>
      <c r="N123" s="632"/>
      <c r="O123" s="632"/>
      <c r="P123" s="632"/>
      <c r="Q123" s="632"/>
      <c r="R123" s="626"/>
    </row>
    <row r="124" spans="2:18" s="594" customFormat="1" ht="15" hidden="1">
      <c r="B124" s="1408" t="s">
        <v>1614</v>
      </c>
      <c r="C124" s="601"/>
      <c r="D124" s="600"/>
      <c r="E124" s="600"/>
      <c r="F124" s="600"/>
      <c r="G124" s="600"/>
      <c r="H124" s="646"/>
      <c r="I124" s="621"/>
      <c r="J124" s="621">
        <v>0</v>
      </c>
      <c r="L124" s="626"/>
      <c r="M124" s="632"/>
      <c r="N124" s="632"/>
      <c r="O124" s="632"/>
      <c r="P124" s="632"/>
      <c r="Q124" s="632"/>
      <c r="R124" s="596"/>
    </row>
    <row r="125" spans="2:18" s="631" customFormat="1" ht="7.5" hidden="1" customHeight="1">
      <c r="B125" s="1310"/>
      <c r="C125" s="645"/>
      <c r="D125" s="642"/>
      <c r="E125" s="642"/>
      <c r="F125" s="642"/>
      <c r="G125" s="642"/>
      <c r="H125" s="646"/>
      <c r="I125" s="646"/>
      <c r="J125" s="646"/>
      <c r="L125" s="626"/>
      <c r="M125" s="632"/>
      <c r="N125" s="632"/>
      <c r="O125" s="632"/>
      <c r="P125" s="632"/>
      <c r="Q125" s="632"/>
      <c r="R125" s="626"/>
    </row>
    <row r="126" spans="2:18" s="631" customFormat="1" ht="15" hidden="1">
      <c r="B126" s="1409" t="s">
        <v>1607</v>
      </c>
      <c r="C126" s="645"/>
      <c r="D126" s="642"/>
      <c r="E126" s="642"/>
      <c r="F126" s="642"/>
      <c r="G126" s="642"/>
      <c r="H126" s="1254">
        <f>SUM(H127:H131)</f>
        <v>18408977000</v>
      </c>
      <c r="I126" s="646"/>
      <c r="J126" s="1254">
        <f>SUM(J127:J131)</f>
        <v>18408977000</v>
      </c>
      <c r="L126" s="626"/>
      <c r="M126" s="632"/>
      <c r="N126" s="632"/>
      <c r="O126" s="632"/>
      <c r="P126" s="632"/>
      <c r="Q126" s="632"/>
      <c r="R126" s="626"/>
    </row>
    <row r="127" spans="2:18" s="631" customFormat="1" ht="15" hidden="1">
      <c r="B127" s="1310" t="s">
        <v>1609</v>
      </c>
      <c r="C127" s="645"/>
      <c r="D127" s="642"/>
      <c r="E127" s="642"/>
      <c r="F127" s="642"/>
      <c r="G127" s="642"/>
      <c r="H127" s="646">
        <v>2440800000</v>
      </c>
      <c r="I127" s="646"/>
      <c r="J127" s="646">
        <v>2440800000</v>
      </c>
      <c r="L127" s="626"/>
      <c r="M127" s="632"/>
      <c r="N127" s="632"/>
      <c r="O127" s="632"/>
      <c r="P127" s="632"/>
      <c r="Q127" s="632"/>
      <c r="R127" s="626"/>
    </row>
    <row r="128" spans="2:18" s="631" customFormat="1" ht="15" hidden="1">
      <c r="B128" s="1408" t="s">
        <v>1610</v>
      </c>
      <c r="C128" s="645"/>
      <c r="D128" s="642"/>
      <c r="E128" s="642"/>
      <c r="F128" s="642"/>
      <c r="G128" s="642"/>
      <c r="H128" s="646">
        <v>13200000000</v>
      </c>
      <c r="I128" s="646"/>
      <c r="J128" s="646">
        <v>13200000000</v>
      </c>
      <c r="L128" s="626"/>
      <c r="M128" s="632"/>
      <c r="N128" s="632"/>
      <c r="O128" s="632"/>
      <c r="P128" s="632"/>
      <c r="Q128" s="632"/>
      <c r="R128" s="626"/>
    </row>
    <row r="129" spans="1:18" s="631" customFormat="1" ht="15" hidden="1">
      <c r="B129" s="1408" t="s">
        <v>1611</v>
      </c>
      <c r="C129" s="645"/>
      <c r="D129" s="642"/>
      <c r="E129" s="642"/>
      <c r="F129" s="642"/>
      <c r="G129" s="642"/>
      <c r="H129" s="646">
        <v>1000000000</v>
      </c>
      <c r="I129" s="646"/>
      <c r="J129" s="646">
        <v>1000000000</v>
      </c>
      <c r="L129" s="626"/>
      <c r="M129" s="632"/>
      <c r="N129" s="632"/>
      <c r="O129" s="632"/>
      <c r="P129" s="632"/>
      <c r="Q129" s="632"/>
      <c r="R129" s="626"/>
    </row>
    <row r="130" spans="1:18" s="631" customFormat="1" ht="15" hidden="1">
      <c r="B130" s="1408" t="s">
        <v>1612</v>
      </c>
      <c r="C130" s="645"/>
      <c r="D130" s="642"/>
      <c r="E130" s="642"/>
      <c r="F130" s="642"/>
      <c r="G130" s="642"/>
      <c r="H130" s="646">
        <v>1500000000</v>
      </c>
      <c r="I130" s="646"/>
      <c r="J130" s="646">
        <v>1500000000</v>
      </c>
      <c r="L130" s="626"/>
      <c r="M130" s="632"/>
      <c r="N130" s="632"/>
      <c r="O130" s="632"/>
      <c r="P130" s="632"/>
      <c r="Q130" s="632"/>
      <c r="R130" s="626"/>
    </row>
    <row r="131" spans="1:18" s="594" customFormat="1" ht="15" hidden="1">
      <c r="B131" s="1408" t="s">
        <v>1614</v>
      </c>
      <c r="C131" s="601"/>
      <c r="D131" s="600"/>
      <c r="E131" s="600"/>
      <c r="F131" s="600"/>
      <c r="G131" s="600"/>
      <c r="H131" s="646">
        <v>268177000</v>
      </c>
      <c r="I131" s="621"/>
      <c r="J131" s="646">
        <v>268177000</v>
      </c>
      <c r="L131" s="626"/>
      <c r="M131" s="632"/>
      <c r="N131" s="632"/>
      <c r="O131" s="632"/>
      <c r="P131" s="632"/>
      <c r="Q131" s="632"/>
      <c r="R131" s="596"/>
    </row>
    <row r="132" spans="1:18" s="594" customFormat="1" ht="15" hidden="1">
      <c r="B132" s="1407" t="s">
        <v>1613</v>
      </c>
      <c r="C132" s="601"/>
      <c r="D132" s="600"/>
      <c r="E132" s="600"/>
      <c r="F132" s="600"/>
      <c r="G132" s="600"/>
      <c r="H132" s="621"/>
      <c r="I132" s="621"/>
      <c r="J132" s="621">
        <v>-33626484267</v>
      </c>
      <c r="L132" s="626"/>
      <c r="M132" s="632"/>
      <c r="N132" s="632"/>
      <c r="O132" s="632"/>
      <c r="P132" s="632"/>
      <c r="Q132" s="632"/>
      <c r="R132" s="596"/>
    </row>
    <row r="133" spans="1:18" s="594" customFormat="1" ht="9" hidden="1" customHeight="1">
      <c r="B133" s="1407"/>
      <c r="C133" s="601"/>
      <c r="D133" s="600"/>
      <c r="E133" s="600"/>
      <c r="F133" s="600"/>
      <c r="G133" s="600"/>
      <c r="H133" s="621"/>
      <c r="I133" s="621"/>
      <c r="J133" s="621"/>
      <c r="L133" s="626"/>
      <c r="M133" s="632"/>
      <c r="N133" s="632"/>
      <c r="O133" s="632"/>
      <c r="P133" s="632"/>
      <c r="Q133" s="632"/>
      <c r="R133" s="596"/>
    </row>
    <row r="134" spans="1:18" s="594" customFormat="1" ht="15.75" hidden="1" thickBot="1">
      <c r="B134" s="633" t="s">
        <v>1571</v>
      </c>
      <c r="C134" s="644"/>
      <c r="D134" s="644"/>
      <c r="E134" s="644"/>
      <c r="F134" s="644"/>
      <c r="H134" s="1087">
        <f>H113+H115+H117+H126</f>
        <v>54070901488</v>
      </c>
      <c r="I134" s="1061"/>
      <c r="J134" s="1087">
        <f>J113+J115+J117+J126+J132</f>
        <v>36733664082</v>
      </c>
      <c r="L134" s="626">
        <f>H134-BS!L60</f>
        <v>-1512661160</v>
      </c>
      <c r="M134" s="632"/>
      <c r="N134" s="674">
        <f>J134-BS!N60</f>
        <v>0</v>
      </c>
      <c r="O134" s="632"/>
      <c r="P134" s="632"/>
      <c r="Q134" s="632"/>
      <c r="R134" s="596"/>
    </row>
    <row r="135" spans="1:18" s="594" customFormat="1" ht="15" hidden="1">
      <c r="B135" s="604"/>
      <c r="C135" s="624"/>
      <c r="D135" s="624"/>
      <c r="E135" s="624"/>
      <c r="F135" s="624"/>
      <c r="G135" s="624"/>
      <c r="H135" s="1061"/>
      <c r="I135" s="1061"/>
      <c r="J135" s="1061"/>
      <c r="L135" s="626"/>
      <c r="M135" s="632"/>
      <c r="N135" s="632"/>
      <c r="O135" s="632"/>
      <c r="P135" s="632"/>
      <c r="Q135" s="632"/>
      <c r="R135" s="596"/>
    </row>
    <row r="136" spans="1:18" s="598" customFormat="1" ht="18" customHeight="1">
      <c r="A136" s="610" t="s">
        <v>680</v>
      </c>
      <c r="B136" s="604" t="s">
        <v>792</v>
      </c>
      <c r="H136" s="612" t="s">
        <v>1428</v>
      </c>
      <c r="I136" s="613"/>
      <c r="J136" s="1136" t="s">
        <v>256</v>
      </c>
      <c r="L136" s="626"/>
      <c r="M136" s="632"/>
      <c r="N136" s="632"/>
      <c r="O136" s="632"/>
      <c r="P136" s="632"/>
      <c r="Q136" s="632"/>
      <c r="R136" s="596"/>
    </row>
    <row r="137" spans="1:18" s="598" customFormat="1" ht="7.5" customHeight="1">
      <c r="B137" s="608"/>
      <c r="H137" s="1058"/>
      <c r="I137" s="1058"/>
      <c r="J137" s="1058"/>
      <c r="L137" s="626"/>
      <c r="M137" s="632"/>
      <c r="N137" s="632"/>
      <c r="O137" s="632"/>
      <c r="P137" s="632"/>
      <c r="Q137" s="632"/>
      <c r="R137" s="596"/>
    </row>
    <row r="138" spans="1:18" s="598" customFormat="1" ht="15">
      <c r="B138" s="1399" t="s">
        <v>294</v>
      </c>
      <c r="C138" s="1411"/>
      <c r="D138" s="1253"/>
      <c r="E138" s="1253"/>
      <c r="F138" s="1253"/>
      <c r="H138" s="599">
        <f>SUM(H139:H142)</f>
        <v>9639260994</v>
      </c>
      <c r="I138" s="1058"/>
      <c r="J138" s="1058">
        <f>SUM(J139:J142)</f>
        <v>26514918465</v>
      </c>
      <c r="L138" s="626"/>
      <c r="M138" s="632"/>
      <c r="N138" s="632">
        <f>9389788010+118810710</f>
        <v>9508598720</v>
      </c>
      <c r="O138" s="632"/>
      <c r="P138" s="632"/>
      <c r="Q138" s="632"/>
      <c r="R138" s="596"/>
    </row>
    <row r="139" spans="1:18" s="598" customFormat="1" ht="15">
      <c r="B139" s="1412" t="s">
        <v>1085</v>
      </c>
      <c r="C139" s="1493"/>
      <c r="D139" s="1323"/>
      <c r="E139" s="1323"/>
      <c r="F139" s="1323"/>
      <c r="G139" s="684"/>
      <c r="H139" s="1325">
        <v>125130455</v>
      </c>
      <c r="I139" s="1098"/>
      <c r="J139" s="1098">
        <v>125130455</v>
      </c>
      <c r="L139" s="626"/>
      <c r="M139" s="632"/>
      <c r="N139" s="632"/>
      <c r="O139" s="632"/>
      <c r="P139" s="632"/>
      <c r="Q139" s="632"/>
      <c r="R139" s="596"/>
    </row>
    <row r="140" spans="1:18" s="598" customFormat="1" ht="15">
      <c r="B140" s="1412" t="s">
        <v>1073</v>
      </c>
      <c r="C140" s="1493"/>
      <c r="D140" s="1323"/>
      <c r="E140" s="1323"/>
      <c r="F140" s="1323"/>
      <c r="G140" s="684"/>
      <c r="H140" s="1325">
        <v>9508598720</v>
      </c>
      <c r="I140" s="1098"/>
      <c r="J140" s="1098">
        <v>9389788010</v>
      </c>
      <c r="L140" s="626"/>
      <c r="M140" s="632"/>
      <c r="N140" s="632"/>
      <c r="O140" s="632"/>
      <c r="P140" s="632"/>
      <c r="Q140" s="632"/>
      <c r="R140" s="596"/>
    </row>
    <row r="141" spans="1:18" s="598" customFormat="1" ht="15">
      <c r="B141" s="1412" t="s">
        <v>1086</v>
      </c>
      <c r="C141" s="1493"/>
      <c r="D141" s="1323"/>
      <c r="E141" s="1323"/>
      <c r="F141" s="1323"/>
      <c r="G141" s="684"/>
      <c r="H141" s="1325">
        <v>0</v>
      </c>
      <c r="I141" s="1098"/>
      <c r="J141" s="1098">
        <v>17000000000</v>
      </c>
      <c r="L141" s="626"/>
      <c r="M141" s="632"/>
      <c r="N141" s="632"/>
      <c r="O141" s="632"/>
      <c r="P141" s="632"/>
      <c r="Q141" s="632"/>
      <c r="R141" s="596"/>
    </row>
    <row r="142" spans="1:18" s="598" customFormat="1" ht="15">
      <c r="B142" s="1412" t="s">
        <v>1074</v>
      </c>
      <c r="C142" s="1493"/>
      <c r="D142" s="1323"/>
      <c r="E142" s="1323"/>
      <c r="F142" s="1323"/>
      <c r="G142" s="684"/>
      <c r="H142" s="1325">
        <f>24140383034-24134851215</f>
        <v>5531819</v>
      </c>
      <c r="I142" s="1098"/>
      <c r="J142" s="1098">
        <v>0</v>
      </c>
      <c r="L142" s="626"/>
      <c r="M142" s="632"/>
      <c r="N142" s="632"/>
      <c r="O142" s="632"/>
      <c r="P142" s="632"/>
      <c r="Q142" s="632"/>
      <c r="R142" s="596"/>
    </row>
    <row r="143" spans="1:18" s="598" customFormat="1" ht="15" customHeight="1">
      <c r="B143" s="1400" t="s">
        <v>597</v>
      </c>
      <c r="C143" s="1411"/>
      <c r="D143" s="1715"/>
      <c r="E143" s="1715"/>
      <c r="F143" s="1321"/>
      <c r="H143" s="599">
        <v>4715979</v>
      </c>
      <c r="I143" s="1058"/>
      <c r="J143" s="1058">
        <v>7857651</v>
      </c>
      <c r="L143" s="626"/>
      <c r="M143" s="632"/>
      <c r="N143" s="632"/>
      <c r="O143" s="632"/>
      <c r="P143" s="632"/>
      <c r="Q143" s="632"/>
      <c r="R143" s="596"/>
    </row>
    <row r="144" spans="1:18" s="598" customFormat="1" ht="15" hidden="1" customHeight="1">
      <c r="A144" s="594"/>
      <c r="B144" s="1400" t="s">
        <v>295</v>
      </c>
      <c r="C144" s="1411"/>
      <c r="D144" s="1715"/>
      <c r="E144" s="1715"/>
      <c r="F144" s="1321"/>
      <c r="H144" s="1283">
        <v>0</v>
      </c>
      <c r="I144" s="1061"/>
      <c r="J144" s="1285">
        <v>0</v>
      </c>
      <c r="L144" s="626"/>
      <c r="M144" s="632"/>
      <c r="N144" s="632"/>
      <c r="O144" s="632"/>
      <c r="P144" s="632"/>
      <c r="Q144" s="632"/>
      <c r="R144" s="596"/>
    </row>
    <row r="145" spans="1:18" s="598" customFormat="1" ht="9.75" customHeight="1">
      <c r="B145" s="1037"/>
      <c r="H145" s="599"/>
      <c r="I145" s="1058"/>
      <c r="J145" s="1058"/>
      <c r="L145" s="626"/>
      <c r="M145" s="632"/>
      <c r="N145" s="632"/>
      <c r="O145" s="632"/>
      <c r="P145" s="632"/>
      <c r="Q145" s="632"/>
      <c r="R145" s="596"/>
    </row>
    <row r="146" spans="1:18" s="598" customFormat="1" ht="17.25" customHeight="1" thickBot="1">
      <c r="B146" s="633" t="s">
        <v>1571</v>
      </c>
      <c r="C146" s="644"/>
      <c r="D146" s="644"/>
      <c r="E146" s="644"/>
      <c r="F146" s="644"/>
      <c r="G146" s="594"/>
      <c r="H146" s="629">
        <f>H138+H143</f>
        <v>9643976973</v>
      </c>
      <c r="I146" s="1061"/>
      <c r="J146" s="1087">
        <f>J138+J143</f>
        <v>26522776116</v>
      </c>
      <c r="L146" s="626">
        <f>H146-BS!L67</f>
        <v>0</v>
      </c>
      <c r="M146" s="632"/>
      <c r="N146" s="674">
        <f>J146-BS!N67</f>
        <v>0</v>
      </c>
      <c r="O146" s="632"/>
      <c r="P146" s="632"/>
      <c r="Q146" s="632"/>
      <c r="R146" s="596"/>
    </row>
    <row r="147" spans="1:18" s="598" customFormat="1" ht="10.5" customHeight="1" thickTop="1">
      <c r="B147" s="1286"/>
      <c r="C147" s="597"/>
      <c r="D147" s="597"/>
      <c r="E147" s="597"/>
      <c r="F147" s="597"/>
      <c r="G147" s="594"/>
      <c r="H147" s="1099"/>
      <c r="I147" s="1061"/>
      <c r="J147" s="1099"/>
      <c r="L147" s="626"/>
      <c r="M147" s="632"/>
      <c r="N147" s="674"/>
      <c r="O147" s="632"/>
      <c r="P147" s="632"/>
      <c r="Q147" s="632"/>
      <c r="R147" s="596"/>
    </row>
    <row r="148" spans="1:18" s="598" customFormat="1" ht="18" customHeight="1">
      <c r="A148" s="610" t="s">
        <v>683</v>
      </c>
      <c r="B148" s="604" t="s">
        <v>842</v>
      </c>
      <c r="H148" s="612" t="s">
        <v>1428</v>
      </c>
      <c r="I148" s="613"/>
      <c r="J148" s="1136" t="s">
        <v>256</v>
      </c>
      <c r="L148" s="626"/>
      <c r="M148" s="632"/>
      <c r="N148" s="632"/>
      <c r="O148" s="632"/>
      <c r="P148" s="632"/>
      <c r="Q148" s="632"/>
      <c r="R148" s="596"/>
    </row>
    <row r="149" spans="1:18" s="594" customFormat="1" ht="18.75" customHeight="1">
      <c r="A149" s="594" t="s">
        <v>1414</v>
      </c>
      <c r="B149" s="604" t="s">
        <v>949</v>
      </c>
      <c r="H149" s="1061">
        <f>H151+H154+H158+H161</f>
        <v>169892963483</v>
      </c>
      <c r="I149" s="1061"/>
      <c r="J149" s="1061">
        <f>J151+J154+J158+J161</f>
        <v>187314087151</v>
      </c>
      <c r="L149" s="596"/>
      <c r="M149" s="597"/>
      <c r="N149" s="597"/>
      <c r="O149" s="597"/>
      <c r="P149" s="597"/>
      <c r="Q149" s="597"/>
      <c r="R149" s="596"/>
    </row>
    <row r="150" spans="1:18" s="631" customFormat="1" ht="7.5" customHeight="1">
      <c r="B150" s="640"/>
      <c r="H150" s="1086"/>
      <c r="I150" s="1086"/>
      <c r="J150" s="1086"/>
      <c r="L150" s="626"/>
      <c r="M150" s="632"/>
      <c r="N150" s="674"/>
      <c r="O150" s="632"/>
      <c r="P150" s="632"/>
      <c r="Q150" s="632"/>
      <c r="R150" s="626"/>
    </row>
    <row r="151" spans="1:18" s="631" customFormat="1" ht="15">
      <c r="A151" s="684"/>
      <c r="B151" s="1399" t="s">
        <v>631</v>
      </c>
      <c r="F151" s="684"/>
      <c r="G151" s="684"/>
      <c r="H151" s="1285">
        <f>H152+H153</f>
        <v>109603370158</v>
      </c>
      <c r="I151" s="1098"/>
      <c r="J151" s="1285">
        <f>J152+J153</f>
        <v>131609251791</v>
      </c>
      <c r="L151" s="626"/>
      <c r="M151" s="632"/>
      <c r="N151" s="632"/>
      <c r="O151" s="632"/>
      <c r="P151" s="632"/>
      <c r="Q151" s="632"/>
      <c r="R151" s="626"/>
    </row>
    <row r="152" spans="1:18" s="631" customFormat="1" ht="15">
      <c r="A152" s="684"/>
      <c r="B152" s="1412" t="s">
        <v>629</v>
      </c>
      <c r="F152" s="684"/>
      <c r="G152" s="684"/>
      <c r="H152" s="1098">
        <v>109603370158</v>
      </c>
      <c r="I152" s="1098"/>
      <c r="J152" s="1098">
        <v>131609251791</v>
      </c>
      <c r="L152" s="626"/>
      <c r="M152" s="632"/>
      <c r="N152" s="632"/>
      <c r="O152" s="632"/>
      <c r="P152" s="632"/>
      <c r="Q152" s="632"/>
      <c r="R152" s="626"/>
    </row>
    <row r="153" spans="1:18" s="631" customFormat="1" ht="15" hidden="1">
      <c r="A153" s="684"/>
      <c r="B153" s="1412" t="s">
        <v>630</v>
      </c>
      <c r="F153" s="684"/>
      <c r="G153" s="684"/>
      <c r="H153" s="1098"/>
      <c r="I153" s="1098"/>
      <c r="J153" s="1098"/>
      <c r="L153" s="626"/>
      <c r="M153" s="632"/>
      <c r="N153" s="632"/>
      <c r="O153" s="632"/>
      <c r="P153" s="632"/>
      <c r="Q153" s="632"/>
      <c r="R153" s="626"/>
    </row>
    <row r="154" spans="1:18" s="631" customFormat="1" ht="15">
      <c r="A154" s="684"/>
      <c r="B154" s="1399" t="s">
        <v>582</v>
      </c>
      <c r="F154" s="684"/>
      <c r="G154" s="684"/>
      <c r="H154" s="1285">
        <f>H155+H156+H157</f>
        <v>19935265898</v>
      </c>
      <c r="I154" s="1098"/>
      <c r="J154" s="1285">
        <f>J155+J156+J157</f>
        <v>32059746681</v>
      </c>
      <c r="L154" s="626"/>
      <c r="M154" s="632"/>
      <c r="N154" s="632"/>
      <c r="O154" s="632"/>
      <c r="P154" s="632"/>
      <c r="Q154" s="632"/>
      <c r="R154" s="626"/>
    </row>
    <row r="155" spans="1:18" s="631" customFormat="1" ht="15">
      <c r="A155" s="684"/>
      <c r="B155" s="1412" t="s">
        <v>629</v>
      </c>
      <c r="F155" s="684"/>
      <c r="G155" s="684"/>
      <c r="H155" s="1098">
        <v>19935265898</v>
      </c>
      <c r="I155" s="1098"/>
      <c r="J155" s="1098">
        <v>32059746681</v>
      </c>
      <c r="L155" s="626"/>
      <c r="M155" s="632"/>
      <c r="N155" s="632"/>
      <c r="O155" s="632"/>
      <c r="P155" s="632"/>
      <c r="Q155" s="632"/>
      <c r="R155" s="626"/>
    </row>
    <row r="156" spans="1:18" s="631" customFormat="1" ht="15" hidden="1">
      <c r="A156" s="684"/>
      <c r="B156" s="1412" t="s">
        <v>630</v>
      </c>
      <c r="F156" s="684"/>
      <c r="G156" s="684"/>
      <c r="H156" s="1098">
        <v>0</v>
      </c>
      <c r="I156" s="1098"/>
      <c r="J156" s="1098">
        <v>0</v>
      </c>
      <c r="L156" s="626"/>
      <c r="M156" s="632"/>
      <c r="N156" s="632"/>
      <c r="O156" s="632"/>
      <c r="P156" s="632"/>
      <c r="Q156" s="632"/>
      <c r="R156" s="626"/>
    </row>
    <row r="157" spans="1:18" s="631" customFormat="1" ht="15" hidden="1">
      <c r="A157" s="684"/>
      <c r="B157" s="1412" t="s">
        <v>632</v>
      </c>
      <c r="F157" s="684"/>
      <c r="G157" s="684"/>
      <c r="H157" s="1098">
        <v>0</v>
      </c>
      <c r="I157" s="1098"/>
      <c r="J157" s="1098">
        <v>0</v>
      </c>
      <c r="L157" s="626"/>
      <c r="M157" s="632"/>
      <c r="N157" s="632"/>
      <c r="O157" s="632"/>
      <c r="P157" s="632"/>
      <c r="Q157" s="632"/>
      <c r="R157" s="626"/>
    </row>
    <row r="158" spans="1:18" s="631" customFormat="1" ht="15" hidden="1">
      <c r="A158" s="684"/>
      <c r="B158" s="1399" t="s">
        <v>285</v>
      </c>
      <c r="F158" s="684"/>
      <c r="G158" s="684"/>
      <c r="H158" s="1058">
        <f>H159+H160</f>
        <v>0</v>
      </c>
      <c r="I158" s="1098"/>
      <c r="J158" s="1058">
        <f>J159+J160</f>
        <v>0</v>
      </c>
      <c r="L158" s="626"/>
      <c r="M158" s="632"/>
      <c r="N158" s="632"/>
      <c r="O158" s="632"/>
      <c r="P158" s="632"/>
      <c r="Q158" s="632"/>
      <c r="R158" s="626"/>
    </row>
    <row r="159" spans="1:18" s="631" customFormat="1" ht="15" hidden="1">
      <c r="A159" s="684"/>
      <c r="B159" s="1412" t="s">
        <v>629</v>
      </c>
      <c r="F159" s="684"/>
      <c r="G159" s="684"/>
      <c r="H159" s="1098">
        <v>0</v>
      </c>
      <c r="I159" s="1098"/>
      <c r="J159" s="1098">
        <v>0</v>
      </c>
      <c r="L159" s="626"/>
      <c r="M159" s="632"/>
      <c r="N159" s="632"/>
      <c r="O159" s="632"/>
      <c r="P159" s="632"/>
      <c r="Q159" s="632"/>
      <c r="R159" s="626"/>
    </row>
    <row r="160" spans="1:18" s="631" customFormat="1" ht="15" hidden="1">
      <c r="A160" s="684"/>
      <c r="B160" s="1412" t="s">
        <v>630</v>
      </c>
      <c r="F160" s="684"/>
      <c r="G160" s="684"/>
      <c r="H160" s="1098">
        <v>0</v>
      </c>
      <c r="I160" s="1098"/>
      <c r="J160" s="1098">
        <v>0</v>
      </c>
      <c r="L160" s="626"/>
      <c r="M160" s="632"/>
      <c r="N160" s="632"/>
      <c r="O160" s="632"/>
      <c r="P160" s="632"/>
      <c r="Q160" s="632"/>
      <c r="R160" s="626"/>
    </row>
    <row r="161" spans="1:18" s="631" customFormat="1" ht="15">
      <c r="A161" s="684"/>
      <c r="B161" s="1399" t="s">
        <v>286</v>
      </c>
      <c r="F161" s="684"/>
      <c r="G161" s="684"/>
      <c r="H161" s="1285">
        <f>H162</f>
        <v>40354327427</v>
      </c>
      <c r="I161" s="1098"/>
      <c r="J161" s="1098">
        <f>J162</f>
        <v>23645088679</v>
      </c>
      <c r="L161" s="626"/>
      <c r="M161" s="632"/>
      <c r="N161" s="632"/>
      <c r="O161" s="632"/>
      <c r="P161" s="632"/>
      <c r="Q161" s="632"/>
      <c r="R161" s="626"/>
    </row>
    <row r="162" spans="1:18" s="631" customFormat="1" ht="15">
      <c r="A162" s="684"/>
      <c r="B162" s="1412" t="s">
        <v>629</v>
      </c>
      <c r="F162" s="684"/>
      <c r="G162" s="684"/>
      <c r="H162" s="1098">
        <v>40354327427</v>
      </c>
      <c r="I162" s="1098"/>
      <c r="J162" s="1098">
        <v>23645088679</v>
      </c>
      <c r="L162" s="626"/>
      <c r="M162" s="632"/>
      <c r="N162" s="632"/>
      <c r="O162" s="632"/>
      <c r="P162" s="632"/>
      <c r="Q162" s="632"/>
      <c r="R162" s="626"/>
    </row>
    <row r="163" spans="1:18" s="631" customFormat="1" ht="8.25" customHeight="1">
      <c r="A163" s="684"/>
      <c r="B163" s="608"/>
      <c r="F163" s="684"/>
      <c r="G163" s="684"/>
      <c r="H163" s="1098"/>
      <c r="I163" s="1098"/>
      <c r="J163" s="1098"/>
      <c r="L163" s="626"/>
      <c r="M163" s="632"/>
      <c r="N163" s="632"/>
      <c r="O163" s="632"/>
      <c r="P163" s="632"/>
      <c r="Q163" s="632"/>
      <c r="R163" s="626"/>
    </row>
    <row r="164" spans="1:18" s="631" customFormat="1" ht="15">
      <c r="A164" s="594" t="s">
        <v>1415</v>
      </c>
      <c r="B164" s="604" t="s">
        <v>950</v>
      </c>
      <c r="H164" s="1061">
        <v>188800000</v>
      </c>
      <c r="I164" s="1061"/>
      <c r="J164" s="1061">
        <v>188800000</v>
      </c>
      <c r="L164" s="626"/>
      <c r="M164" s="632"/>
      <c r="N164" s="632"/>
      <c r="O164" s="632"/>
      <c r="P164" s="632"/>
      <c r="Q164" s="632"/>
      <c r="R164" s="626"/>
    </row>
    <row r="165" spans="1:18" s="631" customFormat="1" ht="15">
      <c r="A165" s="594"/>
      <c r="B165" s="768" t="s">
        <v>1071</v>
      </c>
      <c r="C165" s="684"/>
      <c r="D165" s="684"/>
      <c r="E165" s="684"/>
      <c r="F165" s="684"/>
      <c r="H165" s="1098">
        <v>188800000</v>
      </c>
      <c r="I165" s="1098"/>
      <c r="J165" s="1098">
        <v>188800000</v>
      </c>
      <c r="L165" s="626"/>
      <c r="M165" s="632"/>
      <c r="N165" s="632"/>
      <c r="O165" s="632"/>
      <c r="P165" s="632"/>
      <c r="Q165" s="632"/>
      <c r="R165" s="626"/>
    </row>
    <row r="166" spans="1:18" s="594" customFormat="1" ht="15">
      <c r="B166" s="604"/>
      <c r="H166" s="1061"/>
      <c r="I166" s="1061"/>
      <c r="J166" s="1061"/>
      <c r="L166" s="596"/>
      <c r="M166" s="597"/>
      <c r="N166" s="597"/>
      <c r="O166" s="597"/>
      <c r="P166" s="597"/>
      <c r="Q166" s="597"/>
      <c r="R166" s="596"/>
    </row>
    <row r="167" spans="1:18" s="598" customFormat="1" ht="18.75" customHeight="1" thickBot="1">
      <c r="B167" s="633" t="s">
        <v>1571</v>
      </c>
      <c r="C167" s="644"/>
      <c r="D167" s="644"/>
      <c r="E167" s="644"/>
      <c r="F167" s="644"/>
      <c r="G167" s="594"/>
      <c r="H167" s="1087">
        <f>H149+H164</f>
        <v>170081763483</v>
      </c>
      <c r="I167" s="1061"/>
      <c r="J167" s="1087">
        <f>J149+J164</f>
        <v>187502887151</v>
      </c>
      <c r="L167" s="626">
        <f>H167-BS!L77</f>
        <v>0</v>
      </c>
      <c r="M167" s="632"/>
      <c r="N167" s="674">
        <f>J167-BS!N77</f>
        <v>0</v>
      </c>
      <c r="O167" s="632"/>
      <c r="P167" s="632"/>
      <c r="Q167" s="632"/>
      <c r="R167" s="596"/>
    </row>
    <row r="168" spans="1:18" s="598" customFormat="1" ht="15.75" thickTop="1">
      <c r="B168" s="608"/>
      <c r="H168" s="1058"/>
      <c r="I168" s="1058"/>
      <c r="J168" s="1058"/>
      <c r="L168" s="626"/>
      <c r="M168" s="632"/>
      <c r="N168" s="632"/>
      <c r="O168" s="632"/>
      <c r="P168" s="632"/>
      <c r="Q168" s="632"/>
      <c r="R168" s="596"/>
    </row>
    <row r="169" spans="1:18" s="598" customFormat="1" ht="15">
      <c r="A169" s="615" t="s">
        <v>686</v>
      </c>
      <c r="B169" s="690" t="s">
        <v>969</v>
      </c>
      <c r="H169" s="612" t="s">
        <v>1428</v>
      </c>
      <c r="I169" s="613"/>
      <c r="J169" s="1136" t="s">
        <v>256</v>
      </c>
      <c r="L169" s="596"/>
      <c r="M169" s="596"/>
      <c r="N169" s="596"/>
      <c r="O169" s="596"/>
      <c r="P169" s="596"/>
      <c r="Q169" s="596"/>
      <c r="R169" s="596"/>
    </row>
    <row r="170" spans="1:18" s="615" customFormat="1" ht="6" customHeight="1">
      <c r="B170" s="690"/>
      <c r="H170" s="1099"/>
      <c r="I170" s="1099"/>
      <c r="J170" s="1099"/>
      <c r="K170" s="594"/>
      <c r="L170" s="596"/>
      <c r="M170" s="597"/>
      <c r="N170" s="687"/>
      <c r="O170" s="597"/>
      <c r="P170" s="597"/>
      <c r="Q170" s="597"/>
      <c r="R170" s="596"/>
    </row>
    <row r="171" spans="1:18" s="631" customFormat="1" ht="14.25">
      <c r="B171" s="1491" t="s">
        <v>892</v>
      </c>
      <c r="C171" s="624"/>
      <c r="D171" s="624"/>
      <c r="E171" s="624"/>
      <c r="F171" s="624"/>
      <c r="G171" s="624"/>
      <c r="H171" s="1086">
        <f>SUM(H172:H355)</f>
        <v>176048543746</v>
      </c>
      <c r="I171" s="1086"/>
      <c r="J171" s="1086">
        <f>SUM(J172:J355)</f>
        <v>101942283389</v>
      </c>
      <c r="L171" s="626"/>
      <c r="M171" s="632"/>
      <c r="N171" s="632"/>
      <c r="O171" s="632"/>
      <c r="P171" s="632"/>
      <c r="Q171" s="632"/>
      <c r="R171" s="626"/>
    </row>
    <row r="172" spans="1:18" s="598" customFormat="1" ht="14.25" customHeight="1">
      <c r="B172" s="1494" t="s">
        <v>813</v>
      </c>
      <c r="C172" s="618"/>
      <c r="D172" s="618"/>
      <c r="E172" s="618"/>
      <c r="F172" s="618"/>
      <c r="G172" s="618"/>
      <c r="H172" s="1058">
        <v>0</v>
      </c>
      <c r="I172" s="1058"/>
      <c r="J172" s="1527">
        <v>70000000</v>
      </c>
      <c r="L172" s="600"/>
      <c r="M172" s="601"/>
      <c r="N172" s="601"/>
      <c r="O172" s="601"/>
      <c r="P172" s="601"/>
      <c r="Q172" s="601"/>
      <c r="R172" s="600"/>
    </row>
    <row r="173" spans="1:18" s="598" customFormat="1" ht="14.25" customHeight="1">
      <c r="B173" s="1494" t="s">
        <v>822</v>
      </c>
      <c r="C173" s="618"/>
      <c r="D173" s="618"/>
      <c r="E173" s="618"/>
      <c r="F173" s="618"/>
      <c r="G173" s="618"/>
      <c r="H173" s="1058">
        <v>0</v>
      </c>
      <c r="I173" s="1058"/>
      <c r="J173" s="1527">
        <v>296678481</v>
      </c>
      <c r="L173" s="600"/>
      <c r="M173" s="601"/>
      <c r="N173" s="601"/>
      <c r="O173" s="601"/>
      <c r="P173" s="601"/>
      <c r="Q173" s="601"/>
      <c r="R173" s="600"/>
    </row>
    <row r="174" spans="1:18" s="598" customFormat="1" ht="14.25" customHeight="1">
      <c r="B174" s="1494" t="s">
        <v>823</v>
      </c>
      <c r="C174" s="618"/>
      <c r="D174" s="618"/>
      <c r="E174" s="618"/>
      <c r="F174" s="618"/>
      <c r="G174" s="618"/>
      <c r="H174" s="1058">
        <v>0</v>
      </c>
      <c r="I174" s="1058"/>
      <c r="J174" s="1527">
        <v>904887425</v>
      </c>
      <c r="L174" s="600"/>
      <c r="M174" s="601"/>
      <c r="N174" s="601"/>
      <c r="O174" s="601"/>
      <c r="P174" s="601"/>
      <c r="Q174" s="601"/>
      <c r="R174" s="600"/>
    </row>
    <row r="175" spans="1:18" s="598" customFormat="1" ht="14.25" customHeight="1">
      <c r="B175" s="1494" t="s">
        <v>824</v>
      </c>
      <c r="C175" s="618"/>
      <c r="D175" s="618"/>
      <c r="E175" s="618"/>
      <c r="F175" s="618"/>
      <c r="G175" s="618"/>
      <c r="H175" s="1058">
        <v>0</v>
      </c>
      <c r="I175" s="1058"/>
      <c r="J175" s="1527">
        <v>27052131</v>
      </c>
      <c r="L175" s="600"/>
      <c r="M175" s="601"/>
      <c r="N175" s="601"/>
      <c r="O175" s="601"/>
      <c r="P175" s="601"/>
      <c r="Q175" s="601"/>
      <c r="R175" s="600"/>
    </row>
    <row r="176" spans="1:18" s="598" customFormat="1" ht="14.25" customHeight="1">
      <c r="B176" s="1494" t="s">
        <v>900</v>
      </c>
      <c r="C176" s="618"/>
      <c r="D176" s="618"/>
      <c r="E176" s="618"/>
      <c r="F176" s="618"/>
      <c r="G176" s="618"/>
      <c r="H176" s="1058">
        <v>10391124048</v>
      </c>
      <c r="I176" s="1058"/>
      <c r="J176" s="1527">
        <v>2950000000</v>
      </c>
      <c r="L176" s="600"/>
      <c r="M176" s="601"/>
      <c r="N176" s="601"/>
      <c r="O176" s="601"/>
      <c r="P176" s="601"/>
      <c r="Q176" s="601"/>
      <c r="R176" s="600"/>
    </row>
    <row r="177" spans="2:18" s="598" customFormat="1" ht="14.25" customHeight="1">
      <c r="B177" s="1494" t="s">
        <v>1013</v>
      </c>
      <c r="C177" s="618"/>
      <c r="D177" s="618"/>
      <c r="E177" s="618"/>
      <c r="F177" s="618"/>
      <c r="G177" s="618"/>
      <c r="H177" s="1058">
        <v>3013200</v>
      </c>
      <c r="I177" s="1058"/>
      <c r="J177" s="1527">
        <v>3013200</v>
      </c>
      <c r="L177" s="600"/>
      <c r="M177" s="601"/>
      <c r="N177" s="601"/>
      <c r="O177" s="601"/>
      <c r="P177" s="601"/>
      <c r="Q177" s="601"/>
      <c r="R177" s="600"/>
    </row>
    <row r="178" spans="2:18" s="598" customFormat="1" ht="14.25" customHeight="1">
      <c r="B178" s="1494" t="s">
        <v>1007</v>
      </c>
      <c r="C178" s="618"/>
      <c r="D178" s="618"/>
      <c r="E178" s="618"/>
      <c r="F178" s="618"/>
      <c r="G178" s="618"/>
      <c r="H178" s="1058">
        <v>262110357</v>
      </c>
      <c r="I178" s="1058"/>
      <c r="J178" s="1527">
        <v>644782929</v>
      </c>
      <c r="L178" s="600"/>
      <c r="M178" s="601"/>
      <c r="N178" s="601"/>
      <c r="O178" s="601"/>
      <c r="P178" s="601"/>
      <c r="Q178" s="601"/>
      <c r="R178" s="600"/>
    </row>
    <row r="179" spans="2:18" s="598" customFormat="1" ht="14.25" customHeight="1">
      <c r="B179" s="1494" t="s">
        <v>80</v>
      </c>
      <c r="C179" s="618"/>
      <c r="D179" s="618"/>
      <c r="E179" s="618"/>
      <c r="F179" s="618"/>
      <c r="G179" s="618"/>
      <c r="H179" s="1058">
        <v>845882950</v>
      </c>
      <c r="I179" s="1058"/>
      <c r="J179" s="1058">
        <v>0</v>
      </c>
      <c r="L179" s="600"/>
      <c r="M179" s="601"/>
      <c r="N179" s="601"/>
      <c r="O179" s="601"/>
      <c r="P179" s="601"/>
      <c r="Q179" s="601"/>
      <c r="R179" s="600"/>
    </row>
    <row r="180" spans="2:18" s="598" customFormat="1" ht="14.25" customHeight="1">
      <c r="B180" s="1494" t="s">
        <v>902</v>
      </c>
      <c r="C180" s="618"/>
      <c r="D180" s="618"/>
      <c r="E180" s="618"/>
      <c r="F180" s="618"/>
      <c r="G180" s="618"/>
      <c r="H180" s="1058">
        <v>1554596036</v>
      </c>
      <c r="I180" s="1058"/>
      <c r="J180" s="1527">
        <v>1475668036</v>
      </c>
      <c r="L180" s="600"/>
      <c r="M180" s="601"/>
      <c r="N180" s="601"/>
      <c r="O180" s="601"/>
      <c r="P180" s="601"/>
      <c r="Q180" s="601"/>
      <c r="R180" s="600"/>
    </row>
    <row r="181" spans="2:18" s="598" customFormat="1" ht="14.25" customHeight="1">
      <c r="B181" s="1494" t="s">
        <v>814</v>
      </c>
      <c r="C181" s="618"/>
      <c r="D181" s="618"/>
      <c r="E181" s="618"/>
      <c r="F181" s="618"/>
      <c r="G181" s="618"/>
      <c r="H181" s="1058">
        <v>0</v>
      </c>
      <c r="I181" s="1058"/>
      <c r="J181" s="1527">
        <v>615161467</v>
      </c>
      <c r="L181" s="600"/>
      <c r="M181" s="601"/>
      <c r="N181" s="601"/>
      <c r="O181" s="601"/>
      <c r="P181" s="601"/>
      <c r="Q181" s="601"/>
      <c r="R181" s="600"/>
    </row>
    <row r="182" spans="2:18" s="598" customFormat="1" ht="14.25" customHeight="1">
      <c r="B182" s="1494" t="s">
        <v>1015</v>
      </c>
      <c r="C182" s="618"/>
      <c r="D182" s="618"/>
      <c r="E182" s="618"/>
      <c r="F182" s="618"/>
      <c r="G182" s="618"/>
      <c r="H182" s="1058">
        <v>19322120900</v>
      </c>
      <c r="I182" s="1058"/>
      <c r="J182" s="1527">
        <v>2907495000</v>
      </c>
      <c r="L182" s="600"/>
      <c r="M182" s="601"/>
      <c r="N182" s="601"/>
      <c r="O182" s="601"/>
      <c r="P182" s="601"/>
      <c r="Q182" s="601"/>
      <c r="R182" s="600"/>
    </row>
    <row r="183" spans="2:18" s="598" customFormat="1" ht="14.25" customHeight="1">
      <c r="B183" s="1494" t="s">
        <v>1017</v>
      </c>
      <c r="C183" s="618"/>
      <c r="D183" s="618"/>
      <c r="E183" s="618"/>
      <c r="F183" s="618"/>
      <c r="G183" s="618"/>
      <c r="H183" s="1058">
        <v>843474185</v>
      </c>
      <c r="I183" s="1058"/>
      <c r="J183" s="1527">
        <v>5284193814</v>
      </c>
      <c r="L183" s="600"/>
      <c r="M183" s="601"/>
      <c r="N183" s="601"/>
      <c r="O183" s="601"/>
      <c r="P183" s="601"/>
      <c r="Q183" s="601"/>
      <c r="R183" s="600"/>
    </row>
    <row r="184" spans="2:18" s="598" customFormat="1" ht="14.25" customHeight="1">
      <c r="B184" s="1494" t="s">
        <v>82</v>
      </c>
      <c r="C184" s="618"/>
      <c r="D184" s="618"/>
      <c r="E184" s="618"/>
      <c r="F184" s="618"/>
      <c r="G184" s="618"/>
      <c r="H184" s="1058">
        <v>2439022000</v>
      </c>
      <c r="I184" s="1058"/>
      <c r="J184" s="1527">
        <v>2439022000</v>
      </c>
      <c r="L184" s="600"/>
      <c r="M184" s="601"/>
      <c r="N184" s="601"/>
      <c r="O184" s="601"/>
      <c r="P184" s="601"/>
      <c r="Q184" s="601"/>
      <c r="R184" s="600"/>
    </row>
    <row r="185" spans="2:18" s="598" customFormat="1" ht="14.25" customHeight="1">
      <c r="B185" s="1494" t="s">
        <v>801</v>
      </c>
      <c r="C185" s="618"/>
      <c r="D185" s="618"/>
      <c r="E185" s="618"/>
      <c r="F185" s="618"/>
      <c r="G185" s="618"/>
      <c r="H185" s="1058">
        <v>0</v>
      </c>
      <c r="I185" s="1058"/>
      <c r="J185" s="1527">
        <v>194274258</v>
      </c>
      <c r="L185" s="600"/>
      <c r="M185" s="601"/>
      <c r="N185" s="601"/>
      <c r="O185" s="601"/>
      <c r="P185" s="601"/>
      <c r="Q185" s="601"/>
      <c r="R185" s="600"/>
    </row>
    <row r="186" spans="2:18" s="598" customFormat="1" ht="14.25" customHeight="1">
      <c r="B186" s="1494" t="s">
        <v>815</v>
      </c>
      <c r="C186" s="618"/>
      <c r="D186" s="618"/>
      <c r="E186" s="618"/>
      <c r="F186" s="618"/>
      <c r="G186" s="618"/>
      <c r="H186" s="1058">
        <v>0</v>
      </c>
      <c r="I186" s="1058"/>
      <c r="J186" s="1527">
        <v>87500000</v>
      </c>
      <c r="L186" s="600"/>
      <c r="M186" s="601"/>
      <c r="N186" s="601"/>
      <c r="O186" s="601"/>
      <c r="P186" s="601"/>
      <c r="Q186" s="601"/>
      <c r="R186" s="600"/>
    </row>
    <row r="187" spans="2:18" s="598" customFormat="1" ht="14.25">
      <c r="B187" s="1494" t="s">
        <v>83</v>
      </c>
      <c r="C187" s="618"/>
      <c r="D187" s="618"/>
      <c r="E187" s="618"/>
      <c r="F187" s="618"/>
      <c r="G187" s="618"/>
      <c r="H187" s="1058">
        <v>200000000</v>
      </c>
      <c r="I187" s="1058"/>
      <c r="J187" s="1527">
        <v>500000000</v>
      </c>
      <c r="L187" s="600"/>
      <c r="M187" s="601"/>
      <c r="N187" s="601"/>
      <c r="O187" s="601"/>
      <c r="P187" s="601"/>
      <c r="Q187" s="601"/>
      <c r="R187" s="600"/>
    </row>
    <row r="188" spans="2:18" s="598" customFormat="1" ht="14.25" customHeight="1">
      <c r="B188" s="1494" t="s">
        <v>212</v>
      </c>
      <c r="C188" s="618"/>
      <c r="D188" s="618"/>
      <c r="E188" s="618"/>
      <c r="F188" s="618"/>
      <c r="G188" s="618"/>
      <c r="H188" s="1058">
        <v>29834272424</v>
      </c>
      <c r="I188" s="1058"/>
      <c r="J188" s="1058">
        <v>0</v>
      </c>
      <c r="L188" s="600"/>
      <c r="M188" s="601"/>
      <c r="N188" s="601"/>
      <c r="O188" s="601"/>
      <c r="P188" s="601"/>
      <c r="Q188" s="601"/>
      <c r="R188" s="600"/>
    </row>
    <row r="189" spans="2:18" s="598" customFormat="1" ht="14.25" customHeight="1">
      <c r="B189" s="1494" t="s">
        <v>213</v>
      </c>
      <c r="C189" s="618"/>
      <c r="D189" s="618"/>
      <c r="E189" s="618"/>
      <c r="F189" s="618"/>
      <c r="G189" s="618"/>
      <c r="H189" s="1058">
        <v>18209547</v>
      </c>
      <c r="I189" s="1058"/>
      <c r="J189" s="1527">
        <v>18209547</v>
      </c>
      <c r="L189" s="600"/>
      <c r="M189" s="601"/>
      <c r="N189" s="601"/>
      <c r="O189" s="601"/>
      <c r="P189" s="601"/>
      <c r="Q189" s="601"/>
      <c r="R189" s="600"/>
    </row>
    <row r="190" spans="2:18" s="598" customFormat="1" ht="14.25" customHeight="1">
      <c r="B190" s="1494" t="s">
        <v>214</v>
      </c>
      <c r="C190" s="618"/>
      <c r="D190" s="618"/>
      <c r="E190" s="618"/>
      <c r="F190" s="618"/>
      <c r="G190" s="618"/>
      <c r="H190" s="1058">
        <v>1925680</v>
      </c>
      <c r="I190" s="1058"/>
      <c r="J190" s="1527">
        <v>1925680</v>
      </c>
      <c r="L190" s="600"/>
      <c r="M190" s="601"/>
      <c r="N190" s="601"/>
      <c r="O190" s="601"/>
      <c r="P190" s="601"/>
      <c r="Q190" s="601"/>
      <c r="R190" s="600"/>
    </row>
    <row r="191" spans="2:18" s="598" customFormat="1" ht="14.25" customHeight="1">
      <c r="B191" s="1494" t="s">
        <v>215</v>
      </c>
      <c r="C191" s="618"/>
      <c r="D191" s="618"/>
      <c r="E191" s="618"/>
      <c r="F191" s="618"/>
      <c r="G191" s="618"/>
      <c r="H191" s="1058">
        <v>152070009</v>
      </c>
      <c r="I191" s="1058"/>
      <c r="J191" s="1527">
        <v>152070009</v>
      </c>
      <c r="L191" s="600"/>
      <c r="M191" s="601"/>
      <c r="N191" s="601"/>
      <c r="O191" s="601"/>
      <c r="P191" s="601"/>
      <c r="Q191" s="601"/>
      <c r="R191" s="600"/>
    </row>
    <row r="192" spans="2:18" s="598" customFormat="1" ht="14.25" customHeight="1">
      <c r="B192" s="1494" t="s">
        <v>216</v>
      </c>
      <c r="C192" s="618"/>
      <c r="D192" s="618"/>
      <c r="E192" s="618"/>
      <c r="F192" s="618"/>
      <c r="G192" s="618"/>
      <c r="H192" s="1058">
        <v>1307205</v>
      </c>
      <c r="I192" s="1058"/>
      <c r="J192" s="1527">
        <v>1307205</v>
      </c>
      <c r="L192" s="600"/>
      <c r="M192" s="601"/>
      <c r="N192" s="601"/>
      <c r="O192" s="601"/>
      <c r="P192" s="601"/>
      <c r="Q192" s="601"/>
      <c r="R192" s="600"/>
    </row>
    <row r="193" spans="2:18" s="598" customFormat="1" ht="14.25" customHeight="1">
      <c r="B193" s="1494" t="s">
        <v>756</v>
      </c>
      <c r="C193" s="618"/>
      <c r="D193" s="618"/>
      <c r="E193" s="618"/>
      <c r="F193" s="618"/>
      <c r="G193" s="618"/>
      <c r="H193" s="1058">
        <v>5391996</v>
      </c>
      <c r="I193" s="1058"/>
      <c r="J193" s="1527">
        <v>5391996</v>
      </c>
      <c r="L193" s="600"/>
      <c r="M193" s="601"/>
      <c r="N193" s="601"/>
      <c r="O193" s="601"/>
      <c r="P193" s="601"/>
      <c r="Q193" s="601"/>
      <c r="R193" s="600"/>
    </row>
    <row r="194" spans="2:18" s="598" customFormat="1" ht="14.25" customHeight="1">
      <c r="B194" s="1494" t="s">
        <v>217</v>
      </c>
      <c r="C194" s="618"/>
      <c r="D194" s="618"/>
      <c r="E194" s="618"/>
      <c r="F194" s="618"/>
      <c r="G194" s="618"/>
      <c r="H194" s="1058">
        <v>61136043</v>
      </c>
      <c r="I194" s="1058"/>
      <c r="J194" s="1058">
        <v>0</v>
      </c>
      <c r="L194" s="600"/>
      <c r="M194" s="601"/>
      <c r="N194" s="601"/>
      <c r="O194" s="601"/>
      <c r="P194" s="601"/>
      <c r="Q194" s="601"/>
      <c r="R194" s="600"/>
    </row>
    <row r="195" spans="2:18" s="598" customFormat="1" ht="14.25" customHeight="1">
      <c r="B195" s="1494" t="s">
        <v>17</v>
      </c>
      <c r="C195" s="618"/>
      <c r="D195" s="618"/>
      <c r="E195" s="618"/>
      <c r="F195" s="618"/>
      <c r="G195" s="618"/>
      <c r="H195" s="1058">
        <v>15256070705</v>
      </c>
      <c r="I195" s="1058"/>
      <c r="J195" s="1527">
        <v>19000162317</v>
      </c>
      <c r="L195" s="600"/>
      <c r="M195" s="601"/>
      <c r="N195" s="601"/>
      <c r="O195" s="601"/>
      <c r="P195" s="601"/>
      <c r="Q195" s="601"/>
      <c r="R195" s="600"/>
    </row>
    <row r="196" spans="2:18" s="598" customFormat="1" ht="14.25" customHeight="1">
      <c r="B196" s="1494" t="s">
        <v>218</v>
      </c>
      <c r="C196" s="618"/>
      <c r="D196" s="618"/>
      <c r="E196" s="618"/>
      <c r="F196" s="618"/>
      <c r="G196" s="618"/>
      <c r="H196" s="1058">
        <v>4926235</v>
      </c>
      <c r="I196" s="1058"/>
      <c r="J196" s="1058">
        <v>0</v>
      </c>
      <c r="L196" s="600"/>
      <c r="M196" s="601"/>
      <c r="N196" s="601"/>
      <c r="O196" s="601"/>
      <c r="P196" s="601"/>
      <c r="Q196" s="601"/>
      <c r="R196" s="600"/>
    </row>
    <row r="197" spans="2:18" s="598" customFormat="1" ht="14.25" customHeight="1">
      <c r="B197" s="1494" t="s">
        <v>219</v>
      </c>
      <c r="C197" s="618"/>
      <c r="D197" s="618"/>
      <c r="E197" s="618"/>
      <c r="F197" s="618"/>
      <c r="G197" s="618"/>
      <c r="H197" s="1058">
        <v>632521837</v>
      </c>
      <c r="I197" s="1058"/>
      <c r="J197" s="1527">
        <v>136653000</v>
      </c>
      <c r="L197" s="600"/>
      <c r="M197" s="601"/>
      <c r="N197" s="601"/>
      <c r="O197" s="601"/>
      <c r="P197" s="601"/>
      <c r="Q197" s="601"/>
      <c r="R197" s="600"/>
    </row>
    <row r="198" spans="2:18" s="598" customFormat="1" ht="14.25" customHeight="1">
      <c r="B198" s="1494" t="s">
        <v>1018</v>
      </c>
      <c r="C198" s="618"/>
      <c r="D198" s="618"/>
      <c r="E198" s="618"/>
      <c r="F198" s="618"/>
      <c r="G198" s="618"/>
      <c r="H198" s="1058">
        <v>10149000</v>
      </c>
      <c r="I198" s="1058"/>
      <c r="J198" s="1527">
        <v>10149000</v>
      </c>
      <c r="L198" s="600"/>
      <c r="M198" s="601"/>
      <c r="N198" s="601"/>
      <c r="O198" s="601"/>
      <c r="P198" s="601"/>
      <c r="Q198" s="601"/>
      <c r="R198" s="600"/>
    </row>
    <row r="199" spans="2:18" s="598" customFormat="1" ht="14.25" customHeight="1">
      <c r="B199" s="1494" t="s">
        <v>220</v>
      </c>
      <c r="C199" s="618"/>
      <c r="D199" s="618"/>
      <c r="E199" s="618"/>
      <c r="F199" s="618"/>
      <c r="G199" s="618"/>
      <c r="H199" s="1058">
        <v>20669240</v>
      </c>
      <c r="I199" s="1058"/>
      <c r="J199" s="1527">
        <v>20669240</v>
      </c>
      <c r="L199" s="600"/>
      <c r="M199" s="601"/>
      <c r="N199" s="601"/>
      <c r="O199" s="601"/>
      <c r="P199" s="601"/>
      <c r="Q199" s="601"/>
      <c r="R199" s="600"/>
    </row>
    <row r="200" spans="2:18" s="598" customFormat="1" ht="14.25" customHeight="1">
      <c r="B200" s="1494" t="s">
        <v>60</v>
      </c>
      <c r="C200" s="618"/>
      <c r="D200" s="618"/>
      <c r="E200" s="618"/>
      <c r="F200" s="618"/>
      <c r="G200" s="618"/>
      <c r="H200" s="1058">
        <v>20000000</v>
      </c>
      <c r="I200" s="1058"/>
      <c r="J200" s="1527">
        <v>20000000</v>
      </c>
      <c r="L200" s="600"/>
      <c r="M200" s="601"/>
      <c r="N200" s="601"/>
      <c r="O200" s="601"/>
      <c r="P200" s="601"/>
      <c r="Q200" s="601"/>
      <c r="R200" s="600"/>
    </row>
    <row r="201" spans="2:18" s="598" customFormat="1" ht="14.25" customHeight="1">
      <c r="B201" s="1494" t="s">
        <v>1307</v>
      </c>
      <c r="C201" s="618"/>
      <c r="D201" s="618"/>
      <c r="E201" s="618"/>
      <c r="F201" s="618"/>
      <c r="G201" s="618"/>
      <c r="H201" s="1058">
        <v>18068421</v>
      </c>
      <c r="I201" s="1058"/>
      <c r="J201" s="1527">
        <v>18068421</v>
      </c>
      <c r="L201" s="600"/>
      <c r="M201" s="601"/>
      <c r="N201" s="601"/>
      <c r="O201" s="601"/>
      <c r="P201" s="601"/>
      <c r="Q201" s="601"/>
      <c r="R201" s="600"/>
    </row>
    <row r="202" spans="2:18" s="598" customFormat="1" ht="14.25" customHeight="1">
      <c r="B202" s="1494" t="s">
        <v>54</v>
      </c>
      <c r="C202" s="618"/>
      <c r="D202" s="618"/>
      <c r="E202" s="618"/>
      <c r="F202" s="618"/>
      <c r="G202" s="618"/>
      <c r="H202" s="1058">
        <v>33324800</v>
      </c>
      <c r="I202" s="1058"/>
      <c r="J202" s="1527">
        <v>2333569120</v>
      </c>
      <c r="L202" s="600"/>
      <c r="M202" s="601"/>
      <c r="N202" s="601"/>
      <c r="O202" s="601"/>
      <c r="P202" s="601"/>
      <c r="Q202" s="601"/>
      <c r="R202" s="600"/>
    </row>
    <row r="203" spans="2:18" s="598" customFormat="1" ht="14.25" customHeight="1">
      <c r="B203" s="1494" t="s">
        <v>221</v>
      </c>
      <c r="C203" s="618"/>
      <c r="D203" s="618"/>
      <c r="E203" s="618"/>
      <c r="F203" s="618"/>
      <c r="G203" s="618"/>
      <c r="H203" s="1058">
        <v>1000000</v>
      </c>
      <c r="I203" s="1058"/>
      <c r="J203" s="1527">
        <v>1000000</v>
      </c>
      <c r="L203" s="600"/>
      <c r="M203" s="601"/>
      <c r="N203" s="601"/>
      <c r="O203" s="601"/>
      <c r="P203" s="601"/>
      <c r="Q203" s="601"/>
      <c r="R203" s="600"/>
    </row>
    <row r="204" spans="2:18" s="598" customFormat="1" ht="14.25" customHeight="1">
      <c r="B204" s="1494" t="s">
        <v>223</v>
      </c>
      <c r="C204" s="618"/>
      <c r="D204" s="618"/>
      <c r="E204" s="618"/>
      <c r="F204" s="618"/>
      <c r="G204" s="618"/>
      <c r="H204" s="1058">
        <v>5827233337</v>
      </c>
      <c r="I204" s="1058"/>
      <c r="J204" s="1058">
        <v>0</v>
      </c>
      <c r="L204" s="600"/>
      <c r="M204" s="601"/>
      <c r="N204" s="601"/>
      <c r="O204" s="601"/>
      <c r="P204" s="601"/>
      <c r="Q204" s="601"/>
      <c r="R204" s="600"/>
    </row>
    <row r="205" spans="2:18" s="598" customFormat="1" ht="14.25" customHeight="1">
      <c r="B205" s="1494" t="s">
        <v>222</v>
      </c>
      <c r="C205" s="618"/>
      <c r="D205" s="618"/>
      <c r="E205" s="618"/>
      <c r="F205" s="618"/>
      <c r="G205" s="618"/>
      <c r="H205" s="1058">
        <v>304878319</v>
      </c>
      <c r="I205" s="1058"/>
      <c r="J205" s="1527">
        <v>194026035</v>
      </c>
      <c r="L205" s="600"/>
      <c r="M205" s="601"/>
      <c r="N205" s="601"/>
      <c r="O205" s="601"/>
      <c r="P205" s="601"/>
      <c r="Q205" s="601"/>
      <c r="R205" s="600"/>
    </row>
    <row r="206" spans="2:18" s="598" customFormat="1" ht="14.25" customHeight="1">
      <c r="B206" s="1494" t="s">
        <v>84</v>
      </c>
      <c r="C206" s="618"/>
      <c r="D206" s="618"/>
      <c r="E206" s="618"/>
      <c r="F206" s="618"/>
      <c r="G206" s="618"/>
      <c r="H206" s="1058">
        <v>8000000</v>
      </c>
      <c r="I206" s="1058"/>
      <c r="J206" s="1527">
        <v>8000000</v>
      </c>
      <c r="L206" s="600"/>
      <c r="M206" s="601"/>
      <c r="N206" s="601"/>
      <c r="O206" s="601"/>
      <c r="P206" s="601"/>
      <c r="Q206" s="601"/>
      <c r="R206" s="600"/>
    </row>
    <row r="207" spans="2:18" s="598" customFormat="1" ht="14.25" customHeight="1">
      <c r="B207" s="1494" t="s">
        <v>224</v>
      </c>
      <c r="C207" s="618"/>
      <c r="D207" s="618"/>
      <c r="E207" s="618"/>
      <c r="F207" s="618"/>
      <c r="G207" s="618"/>
      <c r="H207" s="1058">
        <v>10000000</v>
      </c>
      <c r="I207" s="1058"/>
      <c r="J207" s="1527">
        <v>10000000</v>
      </c>
      <c r="L207" s="600"/>
      <c r="M207" s="601"/>
      <c r="N207" s="601"/>
      <c r="O207" s="601"/>
      <c r="P207" s="601"/>
      <c r="Q207" s="601"/>
      <c r="R207" s="600"/>
    </row>
    <row r="208" spans="2:18" s="598" customFormat="1" ht="14.25" customHeight="1">
      <c r="B208" s="1494" t="s">
        <v>62</v>
      </c>
      <c r="C208" s="618"/>
      <c r="D208" s="618"/>
      <c r="E208" s="618"/>
      <c r="F208" s="618"/>
      <c r="G208" s="618"/>
      <c r="H208" s="1058">
        <v>13565160</v>
      </c>
      <c r="I208" s="1058"/>
      <c r="J208" s="1527">
        <v>163565160</v>
      </c>
      <c r="L208" s="600"/>
      <c r="M208" s="601"/>
      <c r="N208" s="601"/>
      <c r="O208" s="601"/>
      <c r="P208" s="601"/>
      <c r="Q208" s="601"/>
      <c r="R208" s="600"/>
    </row>
    <row r="209" spans="2:18" s="598" customFormat="1" ht="14.25" customHeight="1">
      <c r="B209" s="1494" t="s">
        <v>1617</v>
      </c>
      <c r="C209" s="618"/>
      <c r="D209" s="618"/>
      <c r="E209" s="618"/>
      <c r="F209" s="618"/>
      <c r="G209" s="618"/>
      <c r="H209" s="1058">
        <v>224782962</v>
      </c>
      <c r="I209" s="1058"/>
      <c r="J209" s="1527">
        <v>650782962</v>
      </c>
      <c r="L209" s="600"/>
      <c r="M209" s="601"/>
      <c r="N209" s="601"/>
      <c r="O209" s="601"/>
      <c r="P209" s="601"/>
      <c r="Q209" s="601"/>
      <c r="R209" s="600"/>
    </row>
    <row r="210" spans="2:18" s="598" customFormat="1" ht="14.25" customHeight="1">
      <c r="B210" s="1494" t="s">
        <v>225</v>
      </c>
      <c r="C210" s="618"/>
      <c r="D210" s="618"/>
      <c r="E210" s="618"/>
      <c r="F210" s="618"/>
      <c r="G210" s="618"/>
      <c r="H210" s="1058">
        <v>1090733316</v>
      </c>
      <c r="I210" s="1058"/>
      <c r="J210" s="1527">
        <v>1279733316</v>
      </c>
      <c r="L210" s="600"/>
      <c r="M210" s="601"/>
      <c r="N210" s="601"/>
      <c r="O210" s="601"/>
      <c r="P210" s="601"/>
      <c r="Q210" s="601"/>
      <c r="R210" s="600"/>
    </row>
    <row r="211" spans="2:18" s="598" customFormat="1" ht="14.25" customHeight="1">
      <c r="B211" s="1494" t="s">
        <v>226</v>
      </c>
      <c r="C211" s="618"/>
      <c r="D211" s="618"/>
      <c r="E211" s="618"/>
      <c r="F211" s="618"/>
      <c r="G211" s="618"/>
      <c r="H211" s="1058">
        <v>3185730370</v>
      </c>
      <c r="I211" s="1058"/>
      <c r="J211" s="1527">
        <v>4160412857</v>
      </c>
      <c r="L211" s="600"/>
      <c r="M211" s="601"/>
      <c r="N211" s="601"/>
      <c r="O211" s="601"/>
      <c r="P211" s="601"/>
      <c r="Q211" s="601"/>
      <c r="R211" s="600"/>
    </row>
    <row r="212" spans="2:18" s="598" customFormat="1" ht="14.25" customHeight="1">
      <c r="B212" s="1494" t="s">
        <v>59</v>
      </c>
      <c r="C212" s="618"/>
      <c r="D212" s="618"/>
      <c r="E212" s="618"/>
      <c r="F212" s="618"/>
      <c r="G212" s="618"/>
      <c r="H212" s="1058">
        <v>7063326</v>
      </c>
      <c r="I212" s="1058"/>
      <c r="J212" s="1527">
        <v>207063326</v>
      </c>
      <c r="L212" s="600"/>
      <c r="M212" s="601"/>
      <c r="N212" s="601"/>
      <c r="O212" s="601"/>
      <c r="P212" s="601"/>
      <c r="Q212" s="601"/>
      <c r="R212" s="600"/>
    </row>
    <row r="213" spans="2:18" s="598" customFormat="1" ht="14.25" customHeight="1">
      <c r="B213" s="1494" t="s">
        <v>227</v>
      </c>
      <c r="C213" s="618"/>
      <c r="D213" s="618"/>
      <c r="E213" s="618"/>
      <c r="F213" s="618"/>
      <c r="G213" s="618"/>
      <c r="H213" s="1058">
        <v>3309780465</v>
      </c>
      <c r="I213" s="1058"/>
      <c r="J213" s="1058">
        <v>0</v>
      </c>
      <c r="L213" s="600"/>
      <c r="M213" s="601"/>
      <c r="N213" s="601"/>
      <c r="O213" s="601"/>
      <c r="P213" s="601"/>
      <c r="Q213" s="601"/>
      <c r="R213" s="600"/>
    </row>
    <row r="214" spans="2:18" s="598" customFormat="1" ht="14.25" customHeight="1">
      <c r="B214" s="1494" t="s">
        <v>990</v>
      </c>
      <c r="C214" s="618"/>
      <c r="D214" s="618"/>
      <c r="E214" s="618"/>
      <c r="F214" s="618"/>
      <c r="G214" s="618"/>
      <c r="H214" s="1058">
        <v>249722534</v>
      </c>
      <c r="I214" s="1058"/>
      <c r="J214" s="1527">
        <v>249722534</v>
      </c>
      <c r="L214" s="600"/>
      <c r="M214" s="601"/>
      <c r="N214" s="601"/>
      <c r="O214" s="601"/>
      <c r="P214" s="601"/>
      <c r="Q214" s="601"/>
      <c r="R214" s="600"/>
    </row>
    <row r="215" spans="2:18" s="598" customFormat="1" ht="14.25" customHeight="1">
      <c r="B215" s="1494" t="s">
        <v>1148</v>
      </c>
      <c r="C215" s="618"/>
      <c r="D215" s="618"/>
      <c r="E215" s="618"/>
      <c r="F215" s="618"/>
      <c r="G215" s="618"/>
      <c r="H215" s="1058">
        <v>1776587850</v>
      </c>
      <c r="I215" s="1058"/>
      <c r="J215" s="1527">
        <v>4676587850</v>
      </c>
      <c r="L215" s="600"/>
      <c r="M215" s="601"/>
      <c r="N215" s="601"/>
      <c r="O215" s="601"/>
      <c r="P215" s="601"/>
      <c r="Q215" s="601"/>
      <c r="R215" s="600"/>
    </row>
    <row r="216" spans="2:18" s="598" customFormat="1" ht="14.25" customHeight="1">
      <c r="B216" s="1494" t="s">
        <v>991</v>
      </c>
      <c r="C216" s="618"/>
      <c r="D216" s="618"/>
      <c r="E216" s="618"/>
      <c r="F216" s="618"/>
      <c r="G216" s="618"/>
      <c r="H216" s="1058">
        <v>297833818</v>
      </c>
      <c r="I216" s="1058"/>
      <c r="J216" s="1527">
        <v>297833818</v>
      </c>
      <c r="L216" s="600"/>
      <c r="M216" s="601"/>
      <c r="N216" s="601"/>
      <c r="O216" s="601"/>
      <c r="P216" s="601"/>
      <c r="Q216" s="601"/>
      <c r="R216" s="600"/>
    </row>
    <row r="217" spans="2:18" s="598" customFormat="1" ht="14.25" customHeight="1">
      <c r="B217" s="1494" t="s">
        <v>1149</v>
      </c>
      <c r="C217" s="618"/>
      <c r="D217" s="618"/>
      <c r="E217" s="618"/>
      <c r="F217" s="618"/>
      <c r="G217" s="618"/>
      <c r="H217" s="1058">
        <v>5000000</v>
      </c>
      <c r="I217" s="1058"/>
      <c r="J217" s="1527">
        <v>5000000</v>
      </c>
      <c r="L217" s="600"/>
      <c r="M217" s="601"/>
      <c r="N217" s="601"/>
      <c r="O217" s="601"/>
      <c r="P217" s="601"/>
      <c r="Q217" s="601"/>
      <c r="R217" s="600"/>
    </row>
    <row r="218" spans="2:18" s="598" customFormat="1" ht="14.25" customHeight="1">
      <c r="B218" s="1494" t="s">
        <v>1150</v>
      </c>
      <c r="C218" s="618"/>
      <c r="D218" s="618"/>
      <c r="E218" s="618"/>
      <c r="F218" s="618"/>
      <c r="G218" s="618"/>
      <c r="H218" s="1058">
        <v>456014580</v>
      </c>
      <c r="I218" s="1058"/>
      <c r="J218" s="1527">
        <v>456014580</v>
      </c>
      <c r="L218" s="600"/>
      <c r="M218" s="601"/>
      <c r="N218" s="601"/>
      <c r="O218" s="601"/>
      <c r="P218" s="601"/>
      <c r="Q218" s="601"/>
      <c r="R218" s="600"/>
    </row>
    <row r="219" spans="2:18" s="598" customFormat="1" ht="14.25" customHeight="1">
      <c r="B219" s="1494" t="s">
        <v>1151</v>
      </c>
      <c r="C219" s="618"/>
      <c r="D219" s="618"/>
      <c r="E219" s="618"/>
      <c r="F219" s="618"/>
      <c r="G219" s="618"/>
      <c r="H219" s="1058">
        <v>200077452</v>
      </c>
      <c r="I219" s="1058"/>
      <c r="J219" s="1527">
        <v>200077452</v>
      </c>
      <c r="L219" s="600"/>
      <c r="M219" s="601"/>
      <c r="N219" s="601"/>
      <c r="O219" s="601"/>
      <c r="P219" s="601"/>
      <c r="Q219" s="601"/>
      <c r="R219" s="600"/>
    </row>
    <row r="220" spans="2:18" s="598" customFormat="1" ht="14.25" customHeight="1">
      <c r="B220" s="1494" t="s">
        <v>1152</v>
      </c>
      <c r="C220" s="618"/>
      <c r="D220" s="618"/>
      <c r="E220" s="618"/>
      <c r="F220" s="618"/>
      <c r="G220" s="618"/>
      <c r="H220" s="1058">
        <v>6329300</v>
      </c>
      <c r="I220" s="1058"/>
      <c r="J220" s="1527">
        <v>247482400</v>
      </c>
      <c r="L220" s="600"/>
      <c r="M220" s="601"/>
      <c r="N220" s="601"/>
      <c r="O220" s="601"/>
      <c r="P220" s="601"/>
      <c r="Q220" s="601"/>
      <c r="R220" s="600"/>
    </row>
    <row r="221" spans="2:18" s="598" customFormat="1" ht="14.25" customHeight="1">
      <c r="B221" s="1494" t="s">
        <v>1153</v>
      </c>
      <c r="C221" s="618"/>
      <c r="D221" s="618"/>
      <c r="E221" s="618"/>
      <c r="F221" s="618"/>
      <c r="G221" s="618"/>
      <c r="H221" s="1058">
        <v>6766310</v>
      </c>
      <c r="I221" s="1058"/>
      <c r="J221" s="1527">
        <v>249644540</v>
      </c>
      <c r="L221" s="600"/>
      <c r="M221" s="601"/>
      <c r="N221" s="601"/>
      <c r="O221" s="601"/>
      <c r="P221" s="601"/>
      <c r="Q221" s="601"/>
      <c r="R221" s="600"/>
    </row>
    <row r="222" spans="2:18" s="598" customFormat="1" ht="14.25" customHeight="1">
      <c r="B222" s="1494" t="s">
        <v>1154</v>
      </c>
      <c r="C222" s="618"/>
      <c r="D222" s="618"/>
      <c r="E222" s="618"/>
      <c r="F222" s="618"/>
      <c r="G222" s="618"/>
      <c r="H222" s="1058">
        <v>982905000</v>
      </c>
      <c r="I222" s="1058"/>
      <c r="J222" s="1058">
        <v>0</v>
      </c>
      <c r="L222" s="600"/>
      <c r="M222" s="601"/>
      <c r="N222" s="601"/>
      <c r="O222" s="601"/>
      <c r="P222" s="601"/>
      <c r="Q222" s="601"/>
      <c r="R222" s="600"/>
    </row>
    <row r="223" spans="2:18" s="598" customFormat="1" ht="14.25" customHeight="1">
      <c r="B223" s="1494" t="s">
        <v>1155</v>
      </c>
      <c r="C223" s="618"/>
      <c r="D223" s="618"/>
      <c r="E223" s="618"/>
      <c r="F223" s="618"/>
      <c r="G223" s="618"/>
      <c r="H223" s="1058">
        <v>151293250</v>
      </c>
      <c r="I223" s="1058"/>
      <c r="J223" s="1058">
        <v>0</v>
      </c>
      <c r="L223" s="600"/>
      <c r="M223" s="601"/>
      <c r="N223" s="601"/>
      <c r="O223" s="601"/>
      <c r="P223" s="601"/>
      <c r="Q223" s="601"/>
      <c r="R223" s="600"/>
    </row>
    <row r="224" spans="2:18" s="598" customFormat="1" ht="14.25" customHeight="1">
      <c r="B224" s="1494" t="s">
        <v>1156</v>
      </c>
      <c r="C224" s="618"/>
      <c r="D224" s="618"/>
      <c r="E224" s="618"/>
      <c r="F224" s="618"/>
      <c r="G224" s="618"/>
      <c r="H224" s="1058">
        <v>18887000</v>
      </c>
      <c r="I224" s="1058"/>
      <c r="J224" s="1058">
        <v>0</v>
      </c>
      <c r="L224" s="600"/>
      <c r="M224" s="601"/>
      <c r="N224" s="601"/>
      <c r="O224" s="601"/>
      <c r="P224" s="601"/>
      <c r="Q224" s="601"/>
      <c r="R224" s="600"/>
    </row>
    <row r="225" spans="2:18" s="598" customFormat="1" ht="14.25" customHeight="1">
      <c r="B225" s="1495" t="s">
        <v>1157</v>
      </c>
      <c r="C225" s="618"/>
      <c r="D225" s="618"/>
      <c r="E225" s="618"/>
      <c r="F225" s="618"/>
      <c r="G225" s="618"/>
      <c r="H225" s="1058">
        <v>548192960</v>
      </c>
      <c r="I225" s="1058"/>
      <c r="J225" s="1527">
        <v>548192960</v>
      </c>
      <c r="L225" s="600"/>
      <c r="M225" s="601"/>
      <c r="N225" s="601"/>
      <c r="O225" s="601"/>
      <c r="P225" s="601"/>
      <c r="Q225" s="601"/>
      <c r="R225" s="600"/>
    </row>
    <row r="226" spans="2:18" s="598" customFormat="1" ht="14.25" customHeight="1">
      <c r="B226" s="1494" t="s">
        <v>1158</v>
      </c>
      <c r="C226" s="618"/>
      <c r="D226" s="618"/>
      <c r="E226" s="618"/>
      <c r="F226" s="618"/>
      <c r="G226" s="618"/>
      <c r="H226" s="1058">
        <v>9265720825</v>
      </c>
      <c r="I226" s="1058"/>
      <c r="J226" s="1058">
        <v>0</v>
      </c>
      <c r="L226" s="600"/>
      <c r="M226" s="601"/>
      <c r="N226" s="601"/>
      <c r="O226" s="601"/>
      <c r="P226" s="601"/>
      <c r="Q226" s="601"/>
      <c r="R226" s="600"/>
    </row>
    <row r="227" spans="2:18" s="598" customFormat="1" ht="14.25" customHeight="1">
      <c r="B227" s="1494" t="s">
        <v>820</v>
      </c>
      <c r="C227" s="618"/>
      <c r="D227" s="618"/>
      <c r="E227" s="618"/>
      <c r="F227" s="618"/>
      <c r="G227" s="618"/>
      <c r="H227" s="1058">
        <v>0</v>
      </c>
      <c r="I227" s="1058"/>
      <c r="J227" s="1527">
        <v>76072762</v>
      </c>
      <c r="L227" s="600"/>
      <c r="M227" s="601"/>
      <c r="N227" s="601"/>
      <c r="O227" s="601"/>
      <c r="P227" s="601"/>
      <c r="Q227" s="601"/>
      <c r="R227" s="600"/>
    </row>
    <row r="228" spans="2:18" s="598" customFormat="1" ht="14.25" customHeight="1">
      <c r="B228" s="1494" t="s">
        <v>821</v>
      </c>
      <c r="C228" s="618"/>
      <c r="D228" s="618"/>
      <c r="E228" s="618"/>
      <c r="F228" s="618"/>
      <c r="G228" s="618"/>
      <c r="H228" s="1058">
        <v>0</v>
      </c>
      <c r="I228" s="1058"/>
      <c r="J228" s="1527">
        <v>414590000</v>
      </c>
      <c r="L228" s="600"/>
      <c r="M228" s="601"/>
      <c r="N228" s="601"/>
      <c r="O228" s="601"/>
      <c r="P228" s="601"/>
      <c r="Q228" s="601"/>
      <c r="R228" s="600"/>
    </row>
    <row r="229" spans="2:18" s="598" customFormat="1" ht="14.25" customHeight="1">
      <c r="B229" s="1494" t="s">
        <v>1159</v>
      </c>
      <c r="C229" s="618"/>
      <c r="D229" s="618"/>
      <c r="E229" s="618"/>
      <c r="F229" s="618"/>
      <c r="G229" s="618"/>
      <c r="H229" s="1058">
        <v>18363555844</v>
      </c>
      <c r="I229" s="1058"/>
      <c r="J229" s="1058">
        <v>0</v>
      </c>
      <c r="L229" s="600"/>
      <c r="M229" s="601"/>
      <c r="N229" s="601"/>
      <c r="O229" s="601"/>
      <c r="P229" s="601"/>
      <c r="Q229" s="601"/>
      <c r="R229" s="600"/>
    </row>
    <row r="230" spans="2:18" s="598" customFormat="1" ht="14.25" customHeight="1">
      <c r="B230" s="1494" t="s">
        <v>1160</v>
      </c>
      <c r="C230" s="618"/>
      <c r="D230" s="618"/>
      <c r="E230" s="618"/>
      <c r="F230" s="618"/>
      <c r="G230" s="618"/>
      <c r="H230" s="1058">
        <v>3471712000</v>
      </c>
      <c r="I230" s="1058"/>
      <c r="J230" s="1058">
        <v>0</v>
      </c>
      <c r="L230" s="600"/>
      <c r="M230" s="601"/>
      <c r="N230" s="601"/>
      <c r="O230" s="601"/>
      <c r="P230" s="601"/>
      <c r="Q230" s="601"/>
      <c r="R230" s="600"/>
    </row>
    <row r="231" spans="2:18" s="598" customFormat="1" ht="14.25" customHeight="1">
      <c r="B231" s="1494" t="s">
        <v>816</v>
      </c>
      <c r="C231" s="618"/>
      <c r="D231" s="618"/>
      <c r="E231" s="618"/>
      <c r="F231" s="618"/>
      <c r="G231" s="618"/>
      <c r="H231" s="1058">
        <v>0</v>
      </c>
      <c r="I231" s="1058"/>
      <c r="J231" s="1527">
        <v>508321845</v>
      </c>
      <c r="L231" s="600"/>
      <c r="M231" s="601"/>
      <c r="N231" s="601"/>
      <c r="O231" s="601"/>
      <c r="P231" s="601"/>
      <c r="Q231" s="601"/>
      <c r="R231" s="600"/>
    </row>
    <row r="232" spans="2:18" s="598" customFormat="1" ht="14.25" customHeight="1">
      <c r="B232" s="1494" t="s">
        <v>817</v>
      </c>
      <c r="C232" s="618"/>
      <c r="D232" s="618"/>
      <c r="E232" s="618"/>
      <c r="F232" s="618"/>
      <c r="G232" s="618"/>
      <c r="H232" s="1058">
        <v>0</v>
      </c>
      <c r="I232" s="1058"/>
      <c r="J232" s="1527">
        <v>42201547</v>
      </c>
      <c r="L232" s="600"/>
      <c r="M232" s="601"/>
      <c r="N232" s="601"/>
      <c r="O232" s="601"/>
      <c r="P232" s="601"/>
      <c r="Q232" s="601"/>
      <c r="R232" s="600"/>
    </row>
    <row r="233" spans="2:18" s="598" customFormat="1" ht="14.25" customHeight="1">
      <c r="B233" s="1494" t="s">
        <v>818</v>
      </c>
      <c r="C233" s="618"/>
      <c r="D233" s="618"/>
      <c r="E233" s="618"/>
      <c r="F233" s="618"/>
      <c r="G233" s="618"/>
      <c r="H233" s="1058">
        <v>0</v>
      </c>
      <c r="I233" s="1058"/>
      <c r="J233" s="1527">
        <v>367850000</v>
      </c>
      <c r="L233" s="600"/>
      <c r="M233" s="601"/>
      <c r="N233" s="601"/>
      <c r="O233" s="601"/>
      <c r="P233" s="601"/>
      <c r="Q233" s="601"/>
      <c r="R233" s="600"/>
    </row>
    <row r="234" spans="2:18" s="598" customFormat="1" ht="14.25" customHeight="1">
      <c r="B234" s="1494" t="s">
        <v>1161</v>
      </c>
      <c r="C234" s="618"/>
      <c r="D234" s="618"/>
      <c r="E234" s="618"/>
      <c r="F234" s="618"/>
      <c r="G234" s="618"/>
      <c r="H234" s="1058">
        <v>175211375</v>
      </c>
      <c r="I234" s="1058"/>
      <c r="J234" s="1058">
        <v>0</v>
      </c>
      <c r="L234" s="600"/>
      <c r="M234" s="601"/>
      <c r="N234" s="601"/>
      <c r="O234" s="601"/>
      <c r="P234" s="601"/>
      <c r="Q234" s="601"/>
      <c r="R234" s="600"/>
    </row>
    <row r="235" spans="2:18" s="598" customFormat="1" ht="14.25" customHeight="1">
      <c r="B235" s="1494" t="s">
        <v>819</v>
      </c>
      <c r="C235" s="618"/>
      <c r="D235" s="618"/>
      <c r="E235" s="618"/>
      <c r="F235" s="618"/>
      <c r="G235" s="618"/>
      <c r="H235" s="1058">
        <v>0</v>
      </c>
      <c r="I235" s="1058"/>
      <c r="J235" s="1527">
        <v>106840000</v>
      </c>
      <c r="L235" s="600"/>
      <c r="M235" s="601"/>
      <c r="N235" s="601"/>
      <c r="O235" s="601"/>
      <c r="P235" s="601"/>
      <c r="Q235" s="601"/>
      <c r="R235" s="600"/>
    </row>
    <row r="236" spans="2:18" s="598" customFormat="1" ht="14.25" customHeight="1">
      <c r="B236" s="1494" t="s">
        <v>1162</v>
      </c>
      <c r="C236" s="618"/>
      <c r="D236" s="618"/>
      <c r="E236" s="618"/>
      <c r="F236" s="618"/>
      <c r="G236" s="618"/>
      <c r="H236" s="1058">
        <v>1729683750</v>
      </c>
      <c r="I236" s="1058"/>
      <c r="J236" s="1058">
        <v>0</v>
      </c>
      <c r="L236" s="600"/>
      <c r="M236" s="601"/>
      <c r="N236" s="601"/>
      <c r="O236" s="601"/>
      <c r="P236" s="601"/>
      <c r="Q236" s="601"/>
      <c r="R236" s="600"/>
    </row>
    <row r="237" spans="2:18" s="598" customFormat="1" ht="14.25" customHeight="1">
      <c r="B237" s="1494" t="s">
        <v>1163</v>
      </c>
      <c r="C237" s="618"/>
      <c r="D237" s="618"/>
      <c r="E237" s="618"/>
      <c r="F237" s="618"/>
      <c r="G237" s="618"/>
      <c r="H237" s="1058">
        <v>39600000</v>
      </c>
      <c r="I237" s="1058"/>
      <c r="J237" s="1058">
        <v>0</v>
      </c>
      <c r="L237" s="600"/>
      <c r="M237" s="601"/>
      <c r="N237" s="601"/>
      <c r="O237" s="601"/>
      <c r="P237" s="601"/>
      <c r="Q237" s="601"/>
      <c r="R237" s="600"/>
    </row>
    <row r="238" spans="2:18" s="598" customFormat="1" ht="14.25" customHeight="1">
      <c r="B238" s="1494" t="s">
        <v>1164</v>
      </c>
      <c r="C238" s="618"/>
      <c r="D238" s="618"/>
      <c r="E238" s="618"/>
      <c r="F238" s="618"/>
      <c r="G238" s="618"/>
      <c r="H238" s="1058">
        <v>757255940</v>
      </c>
      <c r="I238" s="1058"/>
      <c r="J238" s="1058">
        <v>0</v>
      </c>
      <c r="L238" s="600"/>
      <c r="M238" s="601"/>
      <c r="N238" s="601"/>
      <c r="O238" s="601"/>
      <c r="P238" s="601"/>
      <c r="Q238" s="601"/>
      <c r="R238" s="600"/>
    </row>
    <row r="239" spans="2:18" s="598" customFormat="1" ht="14.25" customHeight="1">
      <c r="B239" s="1494" t="s">
        <v>918</v>
      </c>
      <c r="C239" s="618"/>
      <c r="D239" s="618"/>
      <c r="E239" s="618"/>
      <c r="F239" s="618"/>
      <c r="G239" s="618"/>
      <c r="H239" s="1058">
        <v>689850000</v>
      </c>
      <c r="I239" s="1058"/>
      <c r="J239" s="1527">
        <v>689850000</v>
      </c>
      <c r="L239" s="600"/>
      <c r="M239" s="601"/>
      <c r="N239" s="601"/>
      <c r="O239" s="601"/>
      <c r="P239" s="601"/>
      <c r="Q239" s="601"/>
      <c r="R239" s="600"/>
    </row>
    <row r="240" spans="2:18" s="598" customFormat="1" ht="14.25" customHeight="1">
      <c r="B240" s="1494" t="s">
        <v>81</v>
      </c>
      <c r="C240" s="618"/>
      <c r="D240" s="618"/>
      <c r="E240" s="618"/>
      <c r="F240" s="618"/>
      <c r="G240" s="618"/>
      <c r="H240" s="1058">
        <v>2538587500</v>
      </c>
      <c r="I240" s="1058"/>
      <c r="J240" s="1527">
        <v>2538587500</v>
      </c>
      <c r="L240" s="600"/>
      <c r="M240" s="601"/>
      <c r="N240" s="601"/>
      <c r="O240" s="601"/>
      <c r="P240" s="601"/>
      <c r="Q240" s="601"/>
      <c r="R240" s="600"/>
    </row>
    <row r="241" spans="2:18" s="598" customFormat="1" ht="14.25" customHeight="1">
      <c r="B241" s="1494" t="s">
        <v>1165</v>
      </c>
      <c r="C241" s="618"/>
      <c r="D241" s="618"/>
      <c r="E241" s="618"/>
      <c r="F241" s="618"/>
      <c r="G241" s="618"/>
      <c r="H241" s="1058">
        <v>107250000</v>
      </c>
      <c r="I241" s="1058"/>
      <c r="J241" s="1058">
        <v>0</v>
      </c>
      <c r="L241" s="600"/>
      <c r="M241" s="601"/>
      <c r="N241" s="601"/>
      <c r="O241" s="601"/>
      <c r="P241" s="601"/>
      <c r="Q241" s="601"/>
      <c r="R241" s="600"/>
    </row>
    <row r="242" spans="2:18" s="598" customFormat="1" ht="14.25" customHeight="1">
      <c r="B242" s="1494" t="s">
        <v>1308</v>
      </c>
      <c r="C242" s="618"/>
      <c r="D242" s="618"/>
      <c r="E242" s="618"/>
      <c r="F242" s="618"/>
      <c r="G242" s="618"/>
      <c r="H242" s="1058">
        <v>149180000</v>
      </c>
      <c r="I242" s="1058"/>
      <c r="J242" s="1527">
        <v>149180000</v>
      </c>
      <c r="L242" s="600"/>
      <c r="M242" s="601"/>
      <c r="N242" s="601"/>
      <c r="O242" s="601"/>
      <c r="P242" s="601"/>
      <c r="Q242" s="601"/>
      <c r="R242" s="600"/>
    </row>
    <row r="243" spans="2:18" s="598" customFormat="1" ht="14.25" customHeight="1">
      <c r="B243" s="1494" t="s">
        <v>802</v>
      </c>
      <c r="C243" s="618"/>
      <c r="D243" s="618"/>
      <c r="E243" s="618"/>
      <c r="F243" s="618"/>
      <c r="G243" s="618"/>
      <c r="H243" s="1058">
        <v>0</v>
      </c>
      <c r="I243" s="1058"/>
      <c r="J243" s="1527">
        <v>89000000</v>
      </c>
      <c r="L243" s="600"/>
      <c r="M243" s="601"/>
      <c r="N243" s="601"/>
      <c r="O243" s="601"/>
      <c r="P243" s="601"/>
      <c r="Q243" s="601"/>
      <c r="R243" s="600"/>
    </row>
    <row r="244" spans="2:18" s="598" customFormat="1" ht="14.25" customHeight="1">
      <c r="B244" s="1494" t="s">
        <v>1166</v>
      </c>
      <c r="C244" s="618"/>
      <c r="D244" s="618"/>
      <c r="E244" s="618"/>
      <c r="F244" s="618"/>
      <c r="G244" s="618"/>
      <c r="H244" s="1058">
        <v>170250000</v>
      </c>
      <c r="I244" s="1058"/>
      <c r="J244" s="1058">
        <v>0</v>
      </c>
      <c r="L244" s="600"/>
      <c r="M244" s="601"/>
      <c r="N244" s="601"/>
      <c r="O244" s="601"/>
      <c r="P244" s="601"/>
      <c r="Q244" s="601"/>
      <c r="R244" s="600"/>
    </row>
    <row r="245" spans="2:18" s="598" customFormat="1" ht="14.25" customHeight="1">
      <c r="B245" s="1494" t="s">
        <v>1309</v>
      </c>
      <c r="C245" s="618"/>
      <c r="D245" s="618"/>
      <c r="E245" s="618"/>
      <c r="F245" s="618"/>
      <c r="G245" s="618"/>
      <c r="H245" s="1058">
        <v>70900000</v>
      </c>
      <c r="I245" s="1058"/>
      <c r="J245" s="1527">
        <v>120900000</v>
      </c>
      <c r="L245" s="600"/>
      <c r="M245" s="601"/>
      <c r="N245" s="601"/>
      <c r="O245" s="601"/>
      <c r="P245" s="601"/>
      <c r="Q245" s="601"/>
      <c r="R245" s="600"/>
    </row>
    <row r="246" spans="2:18" s="598" customFormat="1" ht="14.25" customHeight="1">
      <c r="B246" s="1494" t="s">
        <v>1167</v>
      </c>
      <c r="C246" s="618"/>
      <c r="D246" s="618"/>
      <c r="E246" s="618"/>
      <c r="F246" s="618"/>
      <c r="G246" s="618"/>
      <c r="H246" s="1058">
        <v>94500000</v>
      </c>
      <c r="I246" s="1058"/>
      <c r="J246" s="1527">
        <v>94500000</v>
      </c>
      <c r="L246" s="600"/>
      <c r="M246" s="601"/>
      <c r="N246" s="601"/>
      <c r="O246" s="601"/>
      <c r="P246" s="601"/>
      <c r="Q246" s="601"/>
      <c r="R246" s="600"/>
    </row>
    <row r="247" spans="2:18" s="598" customFormat="1" ht="14.25" customHeight="1">
      <c r="B247" s="1494" t="s">
        <v>1168</v>
      </c>
      <c r="C247" s="618"/>
      <c r="D247" s="618"/>
      <c r="E247" s="618"/>
      <c r="F247" s="618"/>
      <c r="G247" s="618"/>
      <c r="H247" s="1058">
        <v>9800000</v>
      </c>
      <c r="I247" s="1058"/>
      <c r="J247" s="1527">
        <v>874228800</v>
      </c>
      <c r="L247" s="600"/>
      <c r="M247" s="601"/>
      <c r="N247" s="601"/>
      <c r="O247" s="601"/>
      <c r="P247" s="601"/>
      <c r="Q247" s="601"/>
      <c r="R247" s="600"/>
    </row>
    <row r="248" spans="2:18" s="598" customFormat="1" ht="14.25" customHeight="1">
      <c r="B248" s="1494" t="s">
        <v>1169</v>
      </c>
      <c r="C248" s="618"/>
      <c r="D248" s="618"/>
      <c r="E248" s="618"/>
      <c r="F248" s="618"/>
      <c r="G248" s="618"/>
      <c r="H248" s="1058">
        <v>322865000</v>
      </c>
      <c r="I248" s="1058"/>
      <c r="J248" s="1527">
        <v>322865000</v>
      </c>
      <c r="L248" s="600"/>
      <c r="M248" s="601"/>
      <c r="N248" s="601"/>
      <c r="O248" s="601"/>
      <c r="P248" s="601"/>
      <c r="Q248" s="601"/>
      <c r="R248" s="600"/>
    </row>
    <row r="249" spans="2:18" s="598" customFormat="1" ht="14.25" customHeight="1">
      <c r="B249" s="1494" t="s">
        <v>1170</v>
      </c>
      <c r="C249" s="618"/>
      <c r="D249" s="618"/>
      <c r="E249" s="618"/>
      <c r="F249" s="618"/>
      <c r="G249" s="618"/>
      <c r="H249" s="1058">
        <v>285034126</v>
      </c>
      <c r="I249" s="1058"/>
      <c r="J249" s="1058">
        <v>0</v>
      </c>
      <c r="L249" s="600"/>
      <c r="M249" s="601"/>
      <c r="N249" s="601"/>
      <c r="O249" s="601"/>
      <c r="P249" s="601"/>
      <c r="Q249" s="601"/>
      <c r="R249" s="600"/>
    </row>
    <row r="250" spans="2:18" s="598" customFormat="1" ht="14.25" customHeight="1">
      <c r="B250" s="1494" t="s">
        <v>1171</v>
      </c>
      <c r="C250" s="618"/>
      <c r="D250" s="618"/>
      <c r="E250" s="618"/>
      <c r="F250" s="618"/>
      <c r="G250" s="618"/>
      <c r="H250" s="1058">
        <v>417524944</v>
      </c>
      <c r="I250" s="1058"/>
      <c r="J250" s="1527">
        <v>417524944</v>
      </c>
      <c r="L250" s="600"/>
      <c r="M250" s="601"/>
      <c r="N250" s="601"/>
      <c r="O250" s="601"/>
      <c r="P250" s="601"/>
      <c r="Q250" s="601"/>
      <c r="R250" s="600"/>
    </row>
    <row r="251" spans="2:18" s="598" customFormat="1" ht="14.25" customHeight="1">
      <c r="B251" s="1494" t="s">
        <v>1172</v>
      </c>
      <c r="C251" s="618"/>
      <c r="D251" s="618"/>
      <c r="E251" s="618"/>
      <c r="F251" s="618"/>
      <c r="G251" s="618"/>
      <c r="H251" s="1058">
        <v>600000</v>
      </c>
      <c r="I251" s="1058"/>
      <c r="J251" s="1527">
        <v>600000</v>
      </c>
      <c r="L251" s="600"/>
      <c r="M251" s="601"/>
      <c r="N251" s="601"/>
      <c r="O251" s="601"/>
      <c r="P251" s="601"/>
      <c r="Q251" s="601"/>
      <c r="R251" s="600"/>
    </row>
    <row r="252" spans="2:18" s="598" customFormat="1" ht="14.25" customHeight="1">
      <c r="B252" s="1494" t="s">
        <v>1173</v>
      </c>
      <c r="C252" s="618"/>
      <c r="D252" s="618"/>
      <c r="E252" s="618"/>
      <c r="F252" s="618"/>
      <c r="G252" s="618"/>
      <c r="H252" s="1058">
        <v>997883</v>
      </c>
      <c r="I252" s="1058"/>
      <c r="J252" s="1527">
        <v>1116997883</v>
      </c>
      <c r="L252" s="600"/>
      <c r="M252" s="601"/>
      <c r="N252" s="601"/>
      <c r="O252" s="601"/>
      <c r="P252" s="601"/>
      <c r="Q252" s="601"/>
      <c r="R252" s="600"/>
    </row>
    <row r="253" spans="2:18" s="598" customFormat="1" ht="14.25" customHeight="1">
      <c r="B253" s="1494" t="s">
        <v>1174</v>
      </c>
      <c r="C253" s="618"/>
      <c r="D253" s="618"/>
      <c r="E253" s="618"/>
      <c r="F253" s="618"/>
      <c r="G253" s="618"/>
      <c r="H253" s="1058">
        <v>78540000</v>
      </c>
      <c r="I253" s="1058"/>
      <c r="J253" s="1058">
        <v>0</v>
      </c>
      <c r="L253" s="600"/>
      <c r="M253" s="601"/>
      <c r="N253" s="601"/>
      <c r="O253" s="601"/>
      <c r="P253" s="601"/>
      <c r="Q253" s="601"/>
      <c r="R253" s="600"/>
    </row>
    <row r="254" spans="2:18" s="598" customFormat="1" ht="14.25" customHeight="1">
      <c r="B254" s="1494" t="s">
        <v>1175</v>
      </c>
      <c r="C254" s="618"/>
      <c r="D254" s="618"/>
      <c r="E254" s="618"/>
      <c r="F254" s="618"/>
      <c r="G254" s="618"/>
      <c r="H254" s="1058">
        <v>152500000</v>
      </c>
      <c r="I254" s="1058"/>
      <c r="J254" s="1058">
        <v>0</v>
      </c>
      <c r="L254" s="600"/>
      <c r="M254" s="601"/>
      <c r="N254" s="601"/>
      <c r="O254" s="601"/>
      <c r="P254" s="601"/>
      <c r="Q254" s="601"/>
      <c r="R254" s="600"/>
    </row>
    <row r="255" spans="2:18" s="598" customFormat="1" ht="14.25" customHeight="1">
      <c r="B255" s="1494" t="s">
        <v>1634</v>
      </c>
      <c r="C255" s="618"/>
      <c r="D255" s="618"/>
      <c r="E255" s="618"/>
      <c r="F255" s="618"/>
      <c r="G255" s="618"/>
      <c r="H255" s="1058">
        <v>312570084</v>
      </c>
      <c r="I255" s="1058"/>
      <c r="J255" s="1058">
        <v>0</v>
      </c>
      <c r="L255" s="600"/>
      <c r="M255" s="601"/>
      <c r="N255" s="601"/>
      <c r="O255" s="601"/>
      <c r="P255" s="601"/>
      <c r="Q255" s="601"/>
      <c r="R255" s="600"/>
    </row>
    <row r="256" spans="2:18" s="598" customFormat="1" ht="14.25" customHeight="1">
      <c r="B256" s="1494" t="s">
        <v>1176</v>
      </c>
      <c r="C256" s="618"/>
      <c r="D256" s="618"/>
      <c r="E256" s="618"/>
      <c r="F256" s="618"/>
      <c r="G256" s="618"/>
      <c r="H256" s="1058">
        <v>344000</v>
      </c>
      <c r="I256" s="1058"/>
      <c r="J256" s="1058">
        <v>0</v>
      </c>
      <c r="L256" s="600"/>
      <c r="M256" s="601"/>
      <c r="N256" s="601"/>
      <c r="O256" s="601"/>
      <c r="P256" s="601"/>
      <c r="Q256" s="601"/>
      <c r="R256" s="600"/>
    </row>
    <row r="257" spans="2:18" s="598" customFormat="1" ht="14.25" customHeight="1">
      <c r="B257" s="1494" t="s">
        <v>69</v>
      </c>
      <c r="C257" s="618"/>
      <c r="D257" s="618"/>
      <c r="E257" s="618"/>
      <c r="F257" s="618"/>
      <c r="G257" s="618"/>
      <c r="H257" s="1058">
        <v>447236200</v>
      </c>
      <c r="I257" s="1058"/>
      <c r="J257" s="1527">
        <v>225599380</v>
      </c>
      <c r="L257" s="600"/>
      <c r="M257" s="601"/>
      <c r="N257" s="601"/>
      <c r="O257" s="601"/>
      <c r="P257" s="601"/>
      <c r="Q257" s="601"/>
      <c r="R257" s="600"/>
    </row>
    <row r="258" spans="2:18" s="598" customFormat="1" ht="14.25" customHeight="1">
      <c r="B258" s="1494" t="s">
        <v>70</v>
      </c>
      <c r="C258" s="618"/>
      <c r="D258" s="618"/>
      <c r="E258" s="618"/>
      <c r="F258" s="618"/>
      <c r="G258" s="618"/>
      <c r="H258" s="1058">
        <v>131963806</v>
      </c>
      <c r="I258" s="1058"/>
      <c r="J258" s="1527">
        <v>201963806</v>
      </c>
      <c r="L258" s="600"/>
      <c r="M258" s="601"/>
      <c r="N258" s="601"/>
      <c r="O258" s="601"/>
      <c r="P258" s="601"/>
      <c r="Q258" s="601"/>
      <c r="R258" s="600"/>
    </row>
    <row r="259" spans="2:18" s="598" customFormat="1" ht="14.25" customHeight="1">
      <c r="B259" s="1494" t="s">
        <v>1177</v>
      </c>
      <c r="C259" s="618"/>
      <c r="D259" s="618"/>
      <c r="E259" s="618"/>
      <c r="F259" s="618"/>
      <c r="G259" s="618"/>
      <c r="H259" s="1058">
        <v>430000000</v>
      </c>
      <c r="I259" s="1058"/>
      <c r="J259" s="1527">
        <v>680000000</v>
      </c>
      <c r="L259" s="600"/>
      <c r="M259" s="601"/>
      <c r="N259" s="601"/>
      <c r="O259" s="601"/>
      <c r="P259" s="601"/>
      <c r="Q259" s="601"/>
      <c r="R259" s="600"/>
    </row>
    <row r="260" spans="2:18" s="598" customFormat="1" ht="14.25" customHeight="1">
      <c r="B260" s="1494" t="s">
        <v>993</v>
      </c>
      <c r="C260" s="618"/>
      <c r="D260" s="618"/>
      <c r="E260" s="618"/>
      <c r="F260" s="618"/>
      <c r="G260" s="618"/>
      <c r="H260" s="1058">
        <v>30000000</v>
      </c>
      <c r="I260" s="1058"/>
      <c r="J260" s="1527">
        <v>30000000</v>
      </c>
      <c r="L260" s="600"/>
      <c r="M260" s="601"/>
      <c r="N260" s="601"/>
      <c r="O260" s="601"/>
      <c r="P260" s="601"/>
      <c r="Q260" s="601"/>
      <c r="R260" s="600"/>
    </row>
    <row r="261" spans="2:18" s="598" customFormat="1" ht="14.25" customHeight="1">
      <c r="B261" s="1494" t="s">
        <v>994</v>
      </c>
      <c r="C261" s="618"/>
      <c r="D261" s="618"/>
      <c r="E261" s="618"/>
      <c r="F261" s="618"/>
      <c r="G261" s="618"/>
      <c r="H261" s="1058">
        <v>299000000</v>
      </c>
      <c r="I261" s="1058"/>
      <c r="J261" s="1527">
        <v>299000000</v>
      </c>
      <c r="L261" s="600"/>
      <c r="M261" s="601"/>
      <c r="N261" s="601"/>
      <c r="O261" s="601"/>
      <c r="P261" s="601"/>
      <c r="Q261" s="601"/>
      <c r="R261" s="600"/>
    </row>
    <row r="262" spans="2:18" s="598" customFormat="1" ht="14.25" customHeight="1">
      <c r="B262" s="1494" t="s">
        <v>995</v>
      </c>
      <c r="C262" s="618"/>
      <c r="D262" s="618"/>
      <c r="E262" s="618"/>
      <c r="F262" s="618"/>
      <c r="G262" s="618"/>
      <c r="H262" s="1058">
        <v>290682003</v>
      </c>
      <c r="I262" s="1058"/>
      <c r="J262" s="1527">
        <v>290682003</v>
      </c>
      <c r="L262" s="600"/>
      <c r="M262" s="601"/>
      <c r="N262" s="601"/>
      <c r="O262" s="601"/>
      <c r="P262" s="601"/>
      <c r="Q262" s="601"/>
      <c r="R262" s="600"/>
    </row>
    <row r="263" spans="2:18" s="598" customFormat="1" ht="14.25" customHeight="1">
      <c r="B263" s="1494" t="s">
        <v>804</v>
      </c>
      <c r="C263" s="618"/>
      <c r="D263" s="618"/>
      <c r="E263" s="618"/>
      <c r="F263" s="618"/>
      <c r="G263" s="618"/>
      <c r="H263" s="1058">
        <v>0</v>
      </c>
      <c r="I263" s="1058"/>
      <c r="J263" s="1058">
        <v>1184479330</v>
      </c>
      <c r="L263" s="600"/>
      <c r="M263" s="601"/>
      <c r="N263" s="601"/>
      <c r="O263" s="601"/>
      <c r="P263" s="601"/>
      <c r="Q263" s="601"/>
      <c r="R263" s="600"/>
    </row>
    <row r="264" spans="2:18" s="598" customFormat="1" ht="14.25" customHeight="1">
      <c r="B264" s="1494" t="s">
        <v>811</v>
      </c>
      <c r="C264" s="618"/>
      <c r="D264" s="618"/>
      <c r="E264" s="618"/>
      <c r="F264" s="618"/>
      <c r="G264" s="618"/>
      <c r="H264" s="1058">
        <v>0</v>
      </c>
      <c r="I264" s="1058"/>
      <c r="J264" s="1527">
        <v>6350997</v>
      </c>
      <c r="L264" s="600"/>
      <c r="M264" s="601"/>
      <c r="N264" s="601"/>
      <c r="O264" s="601"/>
      <c r="P264" s="601"/>
      <c r="Q264" s="601"/>
      <c r="R264" s="600"/>
    </row>
    <row r="265" spans="2:18" s="598" customFormat="1" ht="14.25" customHeight="1">
      <c r="B265" s="1494" t="s">
        <v>812</v>
      </c>
      <c r="C265" s="618"/>
      <c r="D265" s="618"/>
      <c r="E265" s="618"/>
      <c r="F265" s="618"/>
      <c r="G265" s="618"/>
      <c r="H265" s="1058">
        <v>0</v>
      </c>
      <c r="I265" s="1058"/>
      <c r="J265" s="1527">
        <v>591494728</v>
      </c>
      <c r="L265" s="600"/>
      <c r="M265" s="601"/>
      <c r="N265" s="601"/>
      <c r="O265" s="601"/>
      <c r="P265" s="601"/>
      <c r="Q265" s="601"/>
      <c r="R265" s="600"/>
    </row>
    <row r="266" spans="2:18" s="598" customFormat="1" ht="14.25" customHeight="1">
      <c r="B266" s="1494" t="s">
        <v>1303</v>
      </c>
      <c r="C266" s="618"/>
      <c r="D266" s="618"/>
      <c r="E266" s="618"/>
      <c r="F266" s="618"/>
      <c r="G266" s="618"/>
      <c r="H266" s="1058">
        <v>300000000</v>
      </c>
      <c r="I266" s="1058"/>
      <c r="J266" s="1527">
        <v>300000000</v>
      </c>
      <c r="L266" s="600"/>
      <c r="M266" s="601"/>
      <c r="N266" s="601"/>
      <c r="O266" s="601"/>
      <c r="P266" s="601"/>
      <c r="Q266" s="601"/>
      <c r="R266" s="600"/>
    </row>
    <row r="267" spans="2:18" s="598" customFormat="1" ht="14.25" customHeight="1">
      <c r="B267" s="1494" t="s">
        <v>1178</v>
      </c>
      <c r="C267" s="618"/>
      <c r="D267" s="618"/>
      <c r="E267" s="618"/>
      <c r="F267" s="618"/>
      <c r="G267" s="618"/>
      <c r="H267" s="1058">
        <v>416022079</v>
      </c>
      <c r="I267" s="1058"/>
      <c r="J267" s="1527">
        <v>416022079</v>
      </c>
      <c r="L267" s="600"/>
      <c r="M267" s="601"/>
      <c r="N267" s="601"/>
      <c r="O267" s="601"/>
      <c r="P267" s="601"/>
      <c r="Q267" s="601"/>
      <c r="R267" s="600"/>
    </row>
    <row r="268" spans="2:18" s="598" customFormat="1" ht="14.25" customHeight="1">
      <c r="B268" s="1494" t="s">
        <v>1179</v>
      </c>
      <c r="C268" s="618"/>
      <c r="D268" s="618"/>
      <c r="E268" s="618"/>
      <c r="F268" s="618"/>
      <c r="G268" s="618"/>
      <c r="H268" s="1058">
        <v>105000000</v>
      </c>
      <c r="I268" s="1058"/>
      <c r="J268" s="1527">
        <v>155000000</v>
      </c>
      <c r="L268" s="600"/>
      <c r="M268" s="601"/>
      <c r="N268" s="601"/>
      <c r="O268" s="601"/>
      <c r="P268" s="601"/>
      <c r="Q268" s="601"/>
      <c r="R268" s="600"/>
    </row>
    <row r="269" spans="2:18" s="598" customFormat="1" ht="14.25" customHeight="1">
      <c r="B269" s="1494" t="s">
        <v>1180</v>
      </c>
      <c r="C269" s="618"/>
      <c r="D269" s="618"/>
      <c r="E269" s="618"/>
      <c r="F269" s="618"/>
      <c r="G269" s="618"/>
      <c r="H269" s="1058">
        <v>292360796</v>
      </c>
      <c r="I269" s="1058"/>
      <c r="J269" s="1527">
        <v>392360796</v>
      </c>
      <c r="L269" s="600"/>
      <c r="M269" s="601"/>
      <c r="N269" s="601"/>
      <c r="O269" s="601"/>
      <c r="P269" s="601"/>
      <c r="Q269" s="601"/>
      <c r="R269" s="600"/>
    </row>
    <row r="270" spans="2:18" s="598" customFormat="1" ht="14.25" customHeight="1">
      <c r="B270" s="1494" t="s">
        <v>1304</v>
      </c>
      <c r="C270" s="618"/>
      <c r="D270" s="618"/>
      <c r="E270" s="618"/>
      <c r="F270" s="618"/>
      <c r="G270" s="618"/>
      <c r="H270" s="1058">
        <v>256864920</v>
      </c>
      <c r="I270" s="1058"/>
      <c r="J270" s="1527">
        <v>306864920</v>
      </c>
      <c r="L270" s="600"/>
      <c r="M270" s="601"/>
      <c r="N270" s="601"/>
      <c r="O270" s="601"/>
      <c r="P270" s="601"/>
      <c r="Q270" s="601"/>
      <c r="R270" s="600"/>
    </row>
    <row r="271" spans="2:18" s="598" customFormat="1" ht="14.25" customHeight="1">
      <c r="B271" s="1494" t="s">
        <v>1305</v>
      </c>
      <c r="C271" s="618"/>
      <c r="D271" s="618"/>
      <c r="E271" s="618"/>
      <c r="F271" s="618"/>
      <c r="G271" s="618"/>
      <c r="H271" s="1058">
        <v>980000</v>
      </c>
      <c r="I271" s="1058"/>
      <c r="J271" s="1527">
        <v>980000</v>
      </c>
      <c r="L271" s="600"/>
      <c r="M271" s="601"/>
      <c r="N271" s="601"/>
      <c r="O271" s="601"/>
      <c r="P271" s="601"/>
      <c r="Q271" s="601"/>
      <c r="R271" s="600"/>
    </row>
    <row r="272" spans="2:18" s="598" customFormat="1" ht="14.25" customHeight="1">
      <c r="B272" s="1494" t="s">
        <v>71</v>
      </c>
      <c r="C272" s="618"/>
      <c r="D272" s="618"/>
      <c r="E272" s="618"/>
      <c r="F272" s="618"/>
      <c r="G272" s="618"/>
      <c r="H272" s="1058">
        <v>1196595593</v>
      </c>
      <c r="I272" s="1058"/>
      <c r="J272" s="1527">
        <v>1196595593</v>
      </c>
      <c r="L272" s="600"/>
      <c r="M272" s="601"/>
      <c r="N272" s="601"/>
      <c r="O272" s="601"/>
      <c r="P272" s="601"/>
      <c r="Q272" s="601"/>
      <c r="R272" s="600"/>
    </row>
    <row r="273" spans="2:18" s="598" customFormat="1" ht="14.25" customHeight="1">
      <c r="B273" s="1494" t="s">
        <v>72</v>
      </c>
      <c r="C273" s="618"/>
      <c r="D273" s="618"/>
      <c r="E273" s="618"/>
      <c r="F273" s="618"/>
      <c r="G273" s="618"/>
      <c r="H273" s="1058">
        <v>848155370</v>
      </c>
      <c r="I273" s="1058"/>
      <c r="J273" s="1527">
        <v>1711796000</v>
      </c>
      <c r="L273" s="600"/>
      <c r="M273" s="601"/>
      <c r="N273" s="601"/>
      <c r="O273" s="601"/>
      <c r="P273" s="601"/>
      <c r="Q273" s="601"/>
      <c r="R273" s="600"/>
    </row>
    <row r="274" spans="2:18" s="598" customFormat="1" ht="14.25" customHeight="1">
      <c r="B274" s="1494" t="s">
        <v>1181</v>
      </c>
      <c r="C274" s="618"/>
      <c r="D274" s="618"/>
      <c r="E274" s="618"/>
      <c r="F274" s="618"/>
      <c r="G274" s="618"/>
      <c r="H274" s="1058">
        <v>202503000</v>
      </c>
      <c r="I274" s="1058"/>
      <c r="J274" s="1527">
        <v>202503000</v>
      </c>
      <c r="L274" s="600"/>
      <c r="M274" s="601"/>
      <c r="N274" s="601"/>
      <c r="O274" s="601"/>
      <c r="P274" s="601"/>
      <c r="Q274" s="601"/>
      <c r="R274" s="600"/>
    </row>
    <row r="275" spans="2:18" s="598" customFormat="1" ht="14.25" customHeight="1">
      <c r="B275" s="1494" t="s">
        <v>803</v>
      </c>
      <c r="C275" s="618"/>
      <c r="D275" s="618"/>
      <c r="E275" s="618"/>
      <c r="F275" s="618"/>
      <c r="G275" s="618"/>
      <c r="H275" s="1058">
        <v>0</v>
      </c>
      <c r="I275" s="1058"/>
      <c r="J275" s="1527">
        <v>181002425</v>
      </c>
      <c r="L275" s="600"/>
      <c r="M275" s="601"/>
      <c r="N275" s="601"/>
      <c r="O275" s="601"/>
      <c r="P275" s="601"/>
      <c r="Q275" s="601"/>
      <c r="R275" s="600"/>
    </row>
    <row r="276" spans="2:18" s="598" customFormat="1" ht="14.25" customHeight="1">
      <c r="B276" s="1494" t="s">
        <v>1306</v>
      </c>
      <c r="C276" s="618"/>
      <c r="D276" s="618"/>
      <c r="E276" s="618"/>
      <c r="F276" s="618"/>
      <c r="G276" s="618"/>
      <c r="H276" s="1058">
        <v>115500000</v>
      </c>
      <c r="I276" s="1058"/>
      <c r="J276" s="1527">
        <v>115500000</v>
      </c>
      <c r="L276" s="600"/>
      <c r="M276" s="601"/>
      <c r="N276" s="601"/>
      <c r="O276" s="601"/>
      <c r="P276" s="601"/>
      <c r="Q276" s="601"/>
      <c r="R276" s="600"/>
    </row>
    <row r="277" spans="2:18" s="598" customFormat="1" ht="14.25" customHeight="1">
      <c r="B277" s="1494" t="s">
        <v>74</v>
      </c>
      <c r="C277" s="618"/>
      <c r="D277" s="618"/>
      <c r="E277" s="618"/>
      <c r="F277" s="618"/>
      <c r="G277" s="618"/>
      <c r="H277" s="1058">
        <v>65000000</v>
      </c>
      <c r="I277" s="1058"/>
      <c r="J277" s="1527">
        <v>65000000</v>
      </c>
      <c r="L277" s="600"/>
      <c r="M277" s="601"/>
      <c r="N277" s="601"/>
      <c r="O277" s="601"/>
      <c r="P277" s="601"/>
      <c r="Q277" s="601"/>
      <c r="R277" s="600"/>
    </row>
    <row r="278" spans="2:18" s="598" customFormat="1" ht="14.25" customHeight="1">
      <c r="B278" s="1494" t="s">
        <v>503</v>
      </c>
      <c r="C278" s="618"/>
      <c r="D278" s="618"/>
      <c r="E278" s="618"/>
      <c r="F278" s="618"/>
      <c r="G278" s="618"/>
      <c r="H278" s="1058">
        <v>35000000</v>
      </c>
      <c r="I278" s="1058"/>
      <c r="J278" s="1527">
        <v>35000000</v>
      </c>
      <c r="L278" s="600"/>
      <c r="M278" s="601"/>
      <c r="N278" s="601"/>
      <c r="O278" s="601"/>
      <c r="P278" s="601"/>
      <c r="Q278" s="601"/>
      <c r="R278" s="600"/>
    </row>
    <row r="279" spans="2:18" s="598" customFormat="1" ht="14.25" customHeight="1">
      <c r="B279" s="1494" t="s">
        <v>504</v>
      </c>
      <c r="C279" s="618"/>
      <c r="D279" s="618"/>
      <c r="E279" s="618"/>
      <c r="F279" s="618"/>
      <c r="G279" s="618"/>
      <c r="H279" s="1058">
        <v>80638466</v>
      </c>
      <c r="I279" s="1058"/>
      <c r="J279" s="1527">
        <v>80638466</v>
      </c>
      <c r="L279" s="600"/>
      <c r="M279" s="601"/>
      <c r="N279" s="601"/>
      <c r="O279" s="601"/>
      <c r="P279" s="601"/>
      <c r="Q279" s="601"/>
      <c r="R279" s="600"/>
    </row>
    <row r="280" spans="2:18" s="598" customFormat="1" ht="14.25" customHeight="1">
      <c r="B280" s="1494" t="s">
        <v>263</v>
      </c>
      <c r="C280" s="618"/>
      <c r="D280" s="618"/>
      <c r="E280" s="618"/>
      <c r="F280" s="618"/>
      <c r="G280" s="618"/>
      <c r="H280" s="1058">
        <v>30000000</v>
      </c>
      <c r="I280" s="1058"/>
      <c r="J280" s="1527">
        <v>30000000</v>
      </c>
      <c r="L280" s="600"/>
      <c r="M280" s="601"/>
      <c r="N280" s="601"/>
      <c r="O280" s="601"/>
      <c r="P280" s="601"/>
      <c r="Q280" s="601"/>
      <c r="R280" s="600"/>
    </row>
    <row r="281" spans="2:18" s="598" customFormat="1" ht="14.25" customHeight="1">
      <c r="B281" s="1494" t="s">
        <v>264</v>
      </c>
      <c r="C281" s="618"/>
      <c r="D281" s="618"/>
      <c r="E281" s="618"/>
      <c r="F281" s="618"/>
      <c r="G281" s="618"/>
      <c r="H281" s="1058">
        <v>56618710</v>
      </c>
      <c r="I281" s="1058"/>
      <c r="J281" s="1527">
        <v>56618710</v>
      </c>
      <c r="L281" s="600"/>
      <c r="M281" s="601"/>
      <c r="N281" s="601"/>
      <c r="O281" s="601"/>
      <c r="P281" s="601"/>
      <c r="Q281" s="601"/>
      <c r="R281" s="600"/>
    </row>
    <row r="282" spans="2:18" s="598" customFormat="1" ht="14.25" customHeight="1">
      <c r="B282" s="1494" t="s">
        <v>265</v>
      </c>
      <c r="C282" s="618"/>
      <c r="D282" s="618"/>
      <c r="E282" s="618"/>
      <c r="F282" s="618"/>
      <c r="G282" s="618"/>
      <c r="H282" s="1058">
        <v>40000000</v>
      </c>
      <c r="I282" s="1058"/>
      <c r="J282" s="1527">
        <v>14000000</v>
      </c>
      <c r="L282" s="600"/>
      <c r="M282" s="601"/>
      <c r="N282" s="601"/>
      <c r="O282" s="601"/>
      <c r="P282" s="601"/>
      <c r="Q282" s="601"/>
      <c r="R282" s="600"/>
    </row>
    <row r="283" spans="2:18" s="598" customFormat="1" ht="14.25" customHeight="1">
      <c r="B283" s="1494" t="s">
        <v>266</v>
      </c>
      <c r="C283" s="618"/>
      <c r="D283" s="618"/>
      <c r="E283" s="618"/>
      <c r="F283" s="618"/>
      <c r="G283" s="618"/>
      <c r="H283" s="1058">
        <v>23464988</v>
      </c>
      <c r="I283" s="1058"/>
      <c r="J283" s="1527">
        <v>23464988</v>
      </c>
      <c r="L283" s="600"/>
      <c r="M283" s="601"/>
      <c r="N283" s="601"/>
      <c r="O283" s="601"/>
      <c r="P283" s="601"/>
      <c r="Q283" s="601"/>
      <c r="R283" s="600"/>
    </row>
    <row r="284" spans="2:18" s="598" customFormat="1" ht="14.25" customHeight="1">
      <c r="B284" s="1494" t="s">
        <v>267</v>
      </c>
      <c r="C284" s="618"/>
      <c r="D284" s="618"/>
      <c r="E284" s="618"/>
      <c r="F284" s="618"/>
      <c r="G284" s="618"/>
      <c r="H284" s="1058">
        <v>25900000</v>
      </c>
      <c r="I284" s="1058"/>
      <c r="J284" s="1058">
        <v>0</v>
      </c>
      <c r="L284" s="600"/>
      <c r="M284" s="601"/>
      <c r="N284" s="601"/>
      <c r="O284" s="601"/>
      <c r="P284" s="601"/>
      <c r="Q284" s="601"/>
      <c r="R284" s="600"/>
    </row>
    <row r="285" spans="2:18" s="598" customFormat="1" ht="14.25" customHeight="1">
      <c r="B285" s="1494" t="s">
        <v>807</v>
      </c>
      <c r="C285" s="618"/>
      <c r="D285" s="618"/>
      <c r="E285" s="618"/>
      <c r="F285" s="618"/>
      <c r="G285" s="618"/>
      <c r="H285" s="1058">
        <v>0</v>
      </c>
      <c r="I285" s="1058"/>
      <c r="J285" s="1527">
        <v>220941976</v>
      </c>
      <c r="L285" s="600"/>
      <c r="M285" s="601"/>
      <c r="N285" s="601"/>
      <c r="O285" s="601"/>
      <c r="P285" s="601"/>
      <c r="Q285" s="601"/>
      <c r="R285" s="600"/>
    </row>
    <row r="286" spans="2:18" s="598" customFormat="1" ht="14.25" customHeight="1">
      <c r="B286" s="1494" t="s">
        <v>992</v>
      </c>
      <c r="C286" s="618"/>
      <c r="D286" s="618"/>
      <c r="E286" s="618"/>
      <c r="F286" s="618"/>
      <c r="G286" s="618"/>
      <c r="H286" s="1058">
        <v>157337000</v>
      </c>
      <c r="I286" s="1058"/>
      <c r="J286" s="1527">
        <v>213539000</v>
      </c>
      <c r="L286" s="600"/>
      <c r="M286" s="601"/>
      <c r="N286" s="601"/>
      <c r="O286" s="601"/>
      <c r="P286" s="601"/>
      <c r="Q286" s="601"/>
      <c r="R286" s="600"/>
    </row>
    <row r="287" spans="2:18" s="598" customFormat="1" ht="14.25" customHeight="1">
      <c r="B287" s="1494" t="s">
        <v>268</v>
      </c>
      <c r="C287" s="618"/>
      <c r="D287" s="618"/>
      <c r="E287" s="618"/>
      <c r="F287" s="618"/>
      <c r="G287" s="618"/>
      <c r="H287" s="1058">
        <v>660973668</v>
      </c>
      <c r="I287" s="1058"/>
      <c r="J287" s="1527">
        <v>283475629</v>
      </c>
      <c r="L287" s="600"/>
      <c r="M287" s="601"/>
      <c r="N287" s="601"/>
      <c r="O287" s="601"/>
      <c r="P287" s="601"/>
      <c r="Q287" s="601"/>
      <c r="R287" s="600"/>
    </row>
    <row r="288" spans="2:18" s="598" customFormat="1" ht="14.25" customHeight="1">
      <c r="B288" s="1494" t="s">
        <v>806</v>
      </c>
      <c r="C288" s="618"/>
      <c r="D288" s="618"/>
      <c r="E288" s="618"/>
      <c r="F288" s="618"/>
      <c r="G288" s="618"/>
      <c r="H288" s="1058">
        <v>0</v>
      </c>
      <c r="I288" s="1058"/>
      <c r="J288" s="1527">
        <v>94525000</v>
      </c>
      <c r="L288" s="600"/>
      <c r="M288" s="601"/>
      <c r="N288" s="601"/>
      <c r="O288" s="601"/>
      <c r="P288" s="601"/>
      <c r="Q288" s="601"/>
      <c r="R288" s="600"/>
    </row>
    <row r="289" spans="2:18" s="598" customFormat="1" ht="14.25" customHeight="1">
      <c r="B289" s="1494" t="s">
        <v>269</v>
      </c>
      <c r="C289" s="618"/>
      <c r="D289" s="618"/>
      <c r="E289" s="618"/>
      <c r="F289" s="618"/>
      <c r="G289" s="618"/>
      <c r="H289" s="1058">
        <v>451902895</v>
      </c>
      <c r="I289" s="1058"/>
      <c r="J289" s="1058">
        <v>0</v>
      </c>
      <c r="L289" s="600"/>
      <c r="M289" s="601"/>
      <c r="N289" s="601"/>
      <c r="O289" s="601"/>
      <c r="P289" s="601"/>
      <c r="Q289" s="601"/>
      <c r="R289" s="600"/>
    </row>
    <row r="290" spans="2:18" s="598" customFormat="1" ht="14.25" customHeight="1">
      <c r="B290" s="1494" t="s">
        <v>270</v>
      </c>
      <c r="C290" s="618"/>
      <c r="D290" s="618"/>
      <c r="E290" s="618"/>
      <c r="F290" s="618"/>
      <c r="G290" s="618"/>
      <c r="H290" s="1058">
        <v>489071503</v>
      </c>
      <c r="I290" s="1058"/>
      <c r="J290" s="1527">
        <v>389663594</v>
      </c>
      <c r="L290" s="600"/>
      <c r="M290" s="601"/>
      <c r="N290" s="601"/>
      <c r="O290" s="601"/>
      <c r="P290" s="601"/>
      <c r="Q290" s="601"/>
      <c r="R290" s="600"/>
    </row>
    <row r="291" spans="2:18" s="598" customFormat="1" ht="14.25" customHeight="1">
      <c r="B291" s="1494" t="s">
        <v>271</v>
      </c>
      <c r="C291" s="618"/>
      <c r="D291" s="618"/>
      <c r="E291" s="618"/>
      <c r="F291" s="618"/>
      <c r="G291" s="618"/>
      <c r="H291" s="1058">
        <v>826356768</v>
      </c>
      <c r="I291" s="1058"/>
      <c r="J291" s="1527">
        <v>637673973</v>
      </c>
      <c r="L291" s="600"/>
      <c r="M291" s="601"/>
      <c r="N291" s="601"/>
      <c r="O291" s="601"/>
      <c r="P291" s="601"/>
      <c r="Q291" s="601"/>
      <c r="R291" s="600"/>
    </row>
    <row r="292" spans="2:18" s="598" customFormat="1" ht="14.25" customHeight="1">
      <c r="B292" s="1494" t="s">
        <v>989</v>
      </c>
      <c r="C292" s="618"/>
      <c r="D292" s="618"/>
      <c r="E292" s="618"/>
      <c r="F292" s="618"/>
      <c r="G292" s="618"/>
      <c r="H292" s="1058">
        <v>1314770422</v>
      </c>
      <c r="I292" s="1058"/>
      <c r="J292" s="1527">
        <v>968082922</v>
      </c>
      <c r="L292" s="600"/>
      <c r="M292" s="601"/>
      <c r="N292" s="601"/>
      <c r="O292" s="601"/>
      <c r="P292" s="601"/>
      <c r="Q292" s="601"/>
      <c r="R292" s="600"/>
    </row>
    <row r="293" spans="2:18" s="598" customFormat="1" ht="14.25" customHeight="1">
      <c r="B293" s="1494" t="s">
        <v>272</v>
      </c>
      <c r="C293" s="618"/>
      <c r="D293" s="618"/>
      <c r="E293" s="618"/>
      <c r="F293" s="618"/>
      <c r="G293" s="618"/>
      <c r="H293" s="1058">
        <v>1366822483</v>
      </c>
      <c r="I293" s="1058"/>
      <c r="J293" s="1527">
        <v>903846643</v>
      </c>
      <c r="L293" s="600"/>
      <c r="M293" s="601"/>
      <c r="N293" s="601"/>
      <c r="O293" s="601"/>
      <c r="P293" s="601"/>
      <c r="Q293" s="601"/>
      <c r="R293" s="600"/>
    </row>
    <row r="294" spans="2:18" s="598" customFormat="1" ht="14.25" customHeight="1">
      <c r="B294" s="1494" t="s">
        <v>808</v>
      </c>
      <c r="C294" s="618"/>
      <c r="D294" s="618"/>
      <c r="E294" s="618"/>
      <c r="F294" s="618"/>
      <c r="G294" s="618"/>
      <c r="H294" s="1058">
        <v>0</v>
      </c>
      <c r="I294" s="1058"/>
      <c r="J294" s="1527">
        <v>90110296</v>
      </c>
      <c r="L294" s="600"/>
      <c r="M294" s="601"/>
      <c r="N294" s="601"/>
      <c r="O294" s="601"/>
      <c r="P294" s="601"/>
      <c r="Q294" s="601"/>
      <c r="R294" s="600"/>
    </row>
    <row r="295" spans="2:18" s="598" customFormat="1" ht="14.25" customHeight="1">
      <c r="B295" s="1494" t="s">
        <v>809</v>
      </c>
      <c r="C295" s="618"/>
      <c r="D295" s="618"/>
      <c r="E295" s="618"/>
      <c r="F295" s="618"/>
      <c r="G295" s="618"/>
      <c r="H295" s="1058">
        <v>0</v>
      </c>
      <c r="I295" s="1058"/>
      <c r="J295" s="1527">
        <v>168740000</v>
      </c>
      <c r="L295" s="600"/>
      <c r="M295" s="601"/>
      <c r="N295" s="601"/>
      <c r="O295" s="601"/>
      <c r="P295" s="601"/>
      <c r="Q295" s="601"/>
      <c r="R295" s="600"/>
    </row>
    <row r="296" spans="2:18" s="598" customFormat="1" ht="14.25" customHeight="1">
      <c r="B296" s="1494" t="s">
        <v>810</v>
      </c>
      <c r="C296" s="618"/>
      <c r="D296" s="618"/>
      <c r="E296" s="618"/>
      <c r="F296" s="618"/>
      <c r="G296" s="618"/>
      <c r="H296" s="1058">
        <v>0</v>
      </c>
      <c r="I296" s="1058"/>
      <c r="J296" s="1527">
        <v>152996000</v>
      </c>
      <c r="L296" s="600"/>
      <c r="M296" s="601"/>
      <c r="N296" s="601"/>
      <c r="O296" s="601"/>
      <c r="P296" s="601"/>
      <c r="Q296" s="601"/>
      <c r="R296" s="600"/>
    </row>
    <row r="297" spans="2:18" s="598" customFormat="1" ht="14.25" customHeight="1">
      <c r="B297" s="1494" t="s">
        <v>273</v>
      </c>
      <c r="C297" s="618"/>
      <c r="D297" s="618"/>
      <c r="E297" s="618"/>
      <c r="F297" s="618"/>
      <c r="G297" s="618"/>
      <c r="H297" s="1058">
        <v>273374512</v>
      </c>
      <c r="I297" s="1058"/>
      <c r="J297" s="1527">
        <v>369624738</v>
      </c>
      <c r="L297" s="600"/>
      <c r="M297" s="601"/>
      <c r="N297" s="601"/>
      <c r="O297" s="601"/>
      <c r="P297" s="601"/>
      <c r="Q297" s="601"/>
      <c r="R297" s="600"/>
    </row>
    <row r="298" spans="2:18" s="598" customFormat="1" ht="14.25" customHeight="1">
      <c r="B298" s="1494" t="s">
        <v>274</v>
      </c>
      <c r="C298" s="618"/>
      <c r="D298" s="618"/>
      <c r="E298" s="618"/>
      <c r="F298" s="618"/>
      <c r="G298" s="618"/>
      <c r="H298" s="1058">
        <v>1258894817</v>
      </c>
      <c r="I298" s="1058"/>
      <c r="J298" s="1527">
        <v>2767349249</v>
      </c>
      <c r="L298" s="600"/>
      <c r="M298" s="601"/>
      <c r="N298" s="601"/>
      <c r="O298" s="601"/>
      <c r="P298" s="601"/>
      <c r="Q298" s="601"/>
      <c r="R298" s="600"/>
    </row>
    <row r="299" spans="2:18" s="598" customFormat="1" ht="14.25" customHeight="1">
      <c r="B299" s="1494" t="s">
        <v>134</v>
      </c>
      <c r="C299" s="618"/>
      <c r="D299" s="618"/>
      <c r="E299" s="618"/>
      <c r="F299" s="618"/>
      <c r="G299" s="618"/>
      <c r="H299" s="1058">
        <v>1885639124</v>
      </c>
      <c r="I299" s="1058"/>
      <c r="J299" s="1527">
        <v>2007753530</v>
      </c>
      <c r="L299" s="600"/>
      <c r="M299" s="601"/>
      <c r="N299" s="601"/>
      <c r="O299" s="601"/>
      <c r="P299" s="601"/>
      <c r="Q299" s="601"/>
      <c r="R299" s="600"/>
    </row>
    <row r="300" spans="2:18" s="598" customFormat="1" ht="14.25" customHeight="1">
      <c r="B300" s="1494" t="s">
        <v>135</v>
      </c>
      <c r="C300" s="618"/>
      <c r="D300" s="618"/>
      <c r="E300" s="618"/>
      <c r="F300" s="618"/>
      <c r="G300" s="618"/>
      <c r="H300" s="1058">
        <v>43524285</v>
      </c>
      <c r="I300" s="1058"/>
      <c r="J300" s="1527">
        <v>43524285</v>
      </c>
      <c r="L300" s="600"/>
      <c r="M300" s="601"/>
      <c r="N300" s="601"/>
      <c r="O300" s="601"/>
      <c r="P300" s="601"/>
      <c r="Q300" s="601"/>
      <c r="R300" s="600"/>
    </row>
    <row r="301" spans="2:18" s="598" customFormat="1" ht="14.25" customHeight="1">
      <c r="B301" s="1494" t="s">
        <v>136</v>
      </c>
      <c r="C301" s="618"/>
      <c r="D301" s="618"/>
      <c r="E301" s="618"/>
      <c r="F301" s="618"/>
      <c r="G301" s="618"/>
      <c r="H301" s="1058">
        <v>2081933309</v>
      </c>
      <c r="I301" s="1058"/>
      <c r="J301" s="1527">
        <v>858074698</v>
      </c>
      <c r="L301" s="600"/>
      <c r="M301" s="601"/>
      <c r="N301" s="601"/>
      <c r="O301" s="601"/>
      <c r="P301" s="601"/>
      <c r="Q301" s="601"/>
      <c r="R301" s="600"/>
    </row>
    <row r="302" spans="2:18" s="598" customFormat="1" ht="14.25" customHeight="1">
      <c r="B302" s="1494" t="s">
        <v>805</v>
      </c>
      <c r="C302" s="618"/>
      <c r="D302" s="618"/>
      <c r="E302" s="618"/>
      <c r="F302" s="618"/>
      <c r="G302" s="618"/>
      <c r="H302" s="1058">
        <v>0</v>
      </c>
      <c r="I302" s="1058"/>
      <c r="J302" s="1527">
        <v>3675338841</v>
      </c>
      <c r="L302" s="600"/>
      <c r="M302" s="601"/>
      <c r="N302" s="601"/>
      <c r="O302" s="601"/>
      <c r="P302" s="601"/>
      <c r="Q302" s="601"/>
      <c r="R302" s="600"/>
    </row>
    <row r="303" spans="2:18" s="598" customFormat="1" ht="14.25" customHeight="1">
      <c r="B303" s="1494" t="s">
        <v>1430</v>
      </c>
      <c r="C303" s="618"/>
      <c r="D303" s="618"/>
      <c r="E303" s="618"/>
      <c r="F303" s="618"/>
      <c r="G303" s="618"/>
      <c r="H303" s="1058">
        <v>61554000</v>
      </c>
      <c r="I303" s="1058"/>
      <c r="J303" s="1527">
        <v>61554000</v>
      </c>
      <c r="L303" s="600"/>
      <c r="M303" s="601"/>
      <c r="N303" s="601"/>
      <c r="O303" s="601"/>
      <c r="P303" s="601"/>
      <c r="Q303" s="601"/>
      <c r="R303" s="600"/>
    </row>
    <row r="304" spans="2:18" s="598" customFormat="1" ht="14.25" customHeight="1">
      <c r="B304" s="1494" t="s">
        <v>1431</v>
      </c>
      <c r="C304" s="618"/>
      <c r="D304" s="618"/>
      <c r="E304" s="618"/>
      <c r="F304" s="618"/>
      <c r="G304" s="618"/>
      <c r="H304" s="1058">
        <v>19551840</v>
      </c>
      <c r="I304" s="1058"/>
      <c r="J304" s="1527">
        <v>19551840</v>
      </c>
      <c r="L304" s="600"/>
      <c r="M304" s="601"/>
      <c r="N304" s="601"/>
      <c r="O304" s="601"/>
      <c r="P304" s="601"/>
      <c r="Q304" s="601"/>
      <c r="R304" s="600"/>
    </row>
    <row r="305" spans="2:18" s="598" customFormat="1" ht="14.25" customHeight="1">
      <c r="B305" s="1494" t="s">
        <v>1432</v>
      </c>
      <c r="C305" s="618"/>
      <c r="D305" s="618"/>
      <c r="E305" s="618"/>
      <c r="F305" s="618"/>
      <c r="G305" s="618"/>
      <c r="H305" s="1058">
        <v>3187571134</v>
      </c>
      <c r="I305" s="1058"/>
      <c r="J305" s="1527">
        <v>763139377</v>
      </c>
      <c r="L305" s="600"/>
      <c r="M305" s="601"/>
      <c r="N305" s="601"/>
      <c r="O305" s="601"/>
      <c r="P305" s="601"/>
      <c r="Q305" s="601"/>
      <c r="R305" s="600"/>
    </row>
    <row r="306" spans="2:18" s="598" customFormat="1" ht="14.25" customHeight="1">
      <c r="B306" s="1494" t="s">
        <v>505</v>
      </c>
      <c r="C306" s="618"/>
      <c r="D306" s="618"/>
      <c r="E306" s="618"/>
      <c r="F306" s="618"/>
      <c r="G306" s="618"/>
      <c r="H306" s="1058">
        <v>566344080</v>
      </c>
      <c r="I306" s="1058"/>
      <c r="J306" s="1527">
        <v>1066344080</v>
      </c>
      <c r="L306" s="600"/>
      <c r="M306" s="601"/>
      <c r="N306" s="601"/>
      <c r="O306" s="601"/>
      <c r="P306" s="601"/>
      <c r="Q306" s="601"/>
      <c r="R306" s="600"/>
    </row>
    <row r="307" spans="2:18" s="598" customFormat="1" ht="14.25" customHeight="1">
      <c r="B307" s="1494" t="s">
        <v>1433</v>
      </c>
      <c r="C307" s="618"/>
      <c r="D307" s="618"/>
      <c r="E307" s="618"/>
      <c r="F307" s="618"/>
      <c r="G307" s="618"/>
      <c r="H307" s="1058">
        <v>393061081</v>
      </c>
      <c r="I307" s="1058"/>
      <c r="J307" s="1527">
        <v>674678100</v>
      </c>
      <c r="L307" s="600"/>
      <c r="M307" s="601"/>
      <c r="N307" s="601"/>
      <c r="O307" s="601"/>
      <c r="P307" s="601"/>
      <c r="Q307" s="601"/>
      <c r="R307" s="600"/>
    </row>
    <row r="308" spans="2:18" s="598" customFormat="1" ht="14.25" customHeight="1">
      <c r="B308" s="1494" t="s">
        <v>506</v>
      </c>
      <c r="C308" s="618"/>
      <c r="D308" s="618"/>
      <c r="E308" s="618"/>
      <c r="F308" s="618"/>
      <c r="G308" s="618"/>
      <c r="H308" s="1058">
        <v>130816550</v>
      </c>
      <c r="I308" s="1058"/>
      <c r="J308" s="1527">
        <v>130816550</v>
      </c>
      <c r="L308" s="600"/>
      <c r="M308" s="601"/>
      <c r="N308" s="601"/>
      <c r="O308" s="601"/>
      <c r="P308" s="601"/>
      <c r="Q308" s="601"/>
      <c r="R308" s="600"/>
    </row>
    <row r="309" spans="2:18" s="598" customFormat="1" ht="14.25" customHeight="1">
      <c r="B309" s="1494" t="s">
        <v>1434</v>
      </c>
      <c r="C309" s="618"/>
      <c r="D309" s="618"/>
      <c r="E309" s="618"/>
      <c r="F309" s="618"/>
      <c r="G309" s="618"/>
      <c r="H309" s="1058">
        <v>210920000</v>
      </c>
      <c r="I309" s="1058"/>
      <c r="J309" s="1527">
        <v>210920000</v>
      </c>
      <c r="L309" s="600"/>
      <c r="M309" s="601"/>
      <c r="N309" s="601"/>
      <c r="O309" s="601"/>
      <c r="P309" s="601"/>
      <c r="Q309" s="601"/>
      <c r="R309" s="600"/>
    </row>
    <row r="310" spans="2:18" s="598" customFormat="1" ht="14.25" customHeight="1">
      <c r="B310" s="1494" t="s">
        <v>1435</v>
      </c>
      <c r="C310" s="618"/>
      <c r="D310" s="618"/>
      <c r="E310" s="618"/>
      <c r="F310" s="618"/>
      <c r="G310" s="618"/>
      <c r="H310" s="1058">
        <v>9000000</v>
      </c>
      <c r="I310" s="1058"/>
      <c r="J310" s="1527">
        <v>9000000</v>
      </c>
      <c r="L310" s="600"/>
      <c r="M310" s="601"/>
      <c r="N310" s="601"/>
      <c r="O310" s="601"/>
      <c r="P310" s="601"/>
      <c r="Q310" s="601"/>
      <c r="R310" s="600"/>
    </row>
    <row r="311" spans="2:18" s="598" customFormat="1" ht="14.25" customHeight="1">
      <c r="B311" s="1494" t="s">
        <v>1436</v>
      </c>
      <c r="C311" s="618"/>
      <c r="D311" s="618"/>
      <c r="E311" s="618"/>
      <c r="F311" s="618"/>
      <c r="G311" s="618"/>
      <c r="H311" s="1058">
        <v>1457033983</v>
      </c>
      <c r="I311" s="1058"/>
      <c r="J311" s="1527">
        <v>1024886688</v>
      </c>
      <c r="L311" s="600"/>
      <c r="M311" s="601"/>
      <c r="N311" s="601"/>
      <c r="O311" s="601"/>
      <c r="P311" s="601"/>
      <c r="Q311" s="601"/>
      <c r="R311" s="600"/>
    </row>
    <row r="312" spans="2:18" s="598" customFormat="1" ht="14.25" customHeight="1">
      <c r="B312" s="1494" t="s">
        <v>1437</v>
      </c>
      <c r="C312" s="618"/>
      <c r="D312" s="618"/>
      <c r="E312" s="618"/>
      <c r="F312" s="618"/>
      <c r="G312" s="618"/>
      <c r="H312" s="1058">
        <v>126338514</v>
      </c>
      <c r="I312" s="1058"/>
      <c r="J312" s="1527">
        <v>126338514</v>
      </c>
      <c r="L312" s="600"/>
      <c r="M312" s="601"/>
      <c r="N312" s="601"/>
      <c r="O312" s="601"/>
      <c r="P312" s="601"/>
      <c r="Q312" s="601"/>
      <c r="R312" s="600"/>
    </row>
    <row r="313" spans="2:18" s="598" customFormat="1" ht="14.25" customHeight="1">
      <c r="B313" s="1494" t="s">
        <v>825</v>
      </c>
      <c r="C313" s="618"/>
      <c r="D313" s="618"/>
      <c r="E313" s="618"/>
      <c r="F313" s="618"/>
      <c r="G313" s="618"/>
      <c r="H313" s="1058">
        <v>0</v>
      </c>
      <c r="I313" s="1058"/>
      <c r="J313" s="1527">
        <v>57905000</v>
      </c>
      <c r="L313" s="600"/>
      <c r="M313" s="601"/>
      <c r="N313" s="601"/>
      <c r="O313" s="601"/>
      <c r="P313" s="601"/>
      <c r="Q313" s="601"/>
      <c r="R313" s="600"/>
    </row>
    <row r="314" spans="2:18" s="598" customFormat="1" ht="14.25" customHeight="1">
      <c r="B314" s="1494" t="s">
        <v>826</v>
      </c>
      <c r="C314" s="618"/>
      <c r="D314" s="618"/>
      <c r="E314" s="618"/>
      <c r="F314" s="618"/>
      <c r="G314" s="618"/>
      <c r="H314" s="1058">
        <v>0</v>
      </c>
      <c r="I314" s="1058"/>
      <c r="J314" s="1527">
        <v>106461220</v>
      </c>
      <c r="L314" s="600"/>
      <c r="M314" s="601"/>
      <c r="N314" s="601"/>
      <c r="O314" s="601"/>
      <c r="P314" s="601"/>
      <c r="Q314" s="601"/>
      <c r="R314" s="600"/>
    </row>
    <row r="315" spans="2:18" s="598" customFormat="1" ht="14.25" customHeight="1">
      <c r="B315" s="1494" t="s">
        <v>827</v>
      </c>
      <c r="C315" s="618"/>
      <c r="D315" s="618"/>
      <c r="E315" s="618"/>
      <c r="F315" s="618"/>
      <c r="G315" s="618"/>
      <c r="H315" s="1058">
        <v>0</v>
      </c>
      <c r="I315" s="1058"/>
      <c r="J315" s="1527">
        <v>499896150</v>
      </c>
      <c r="L315" s="600"/>
      <c r="M315" s="601"/>
      <c r="N315" s="601"/>
      <c r="O315" s="601"/>
      <c r="P315" s="601"/>
      <c r="Q315" s="601"/>
      <c r="R315" s="600"/>
    </row>
    <row r="316" spans="2:18" s="598" customFormat="1" ht="14.25" customHeight="1">
      <c r="B316" s="1494" t="s">
        <v>828</v>
      </c>
      <c r="C316" s="618"/>
      <c r="D316" s="618"/>
      <c r="E316" s="618"/>
      <c r="F316" s="618"/>
      <c r="G316" s="618"/>
      <c r="H316" s="1058">
        <v>0</v>
      </c>
      <c r="I316" s="1058"/>
      <c r="J316" s="1527">
        <v>172499980</v>
      </c>
      <c r="L316" s="600"/>
      <c r="M316" s="601"/>
      <c r="N316" s="601"/>
      <c r="O316" s="601"/>
      <c r="P316" s="601"/>
      <c r="Q316" s="601"/>
      <c r="R316" s="600"/>
    </row>
    <row r="317" spans="2:18" s="598" customFormat="1" ht="14.25" customHeight="1">
      <c r="B317" s="1494" t="s">
        <v>829</v>
      </c>
      <c r="C317" s="618"/>
      <c r="D317" s="618"/>
      <c r="E317" s="618"/>
      <c r="F317" s="618"/>
      <c r="G317" s="618"/>
      <c r="H317" s="1058">
        <v>0</v>
      </c>
      <c r="I317" s="1058"/>
      <c r="J317" s="1527">
        <v>300000000</v>
      </c>
      <c r="L317" s="600"/>
      <c r="M317" s="601"/>
      <c r="N317" s="601"/>
      <c r="O317" s="601"/>
      <c r="P317" s="601"/>
      <c r="Q317" s="601"/>
      <c r="R317" s="600"/>
    </row>
    <row r="318" spans="2:18" s="598" customFormat="1" ht="14.25" customHeight="1">
      <c r="B318" s="1494" t="s">
        <v>830</v>
      </c>
      <c r="C318" s="618"/>
      <c r="D318" s="618"/>
      <c r="E318" s="618"/>
      <c r="F318" s="618"/>
      <c r="G318" s="618"/>
      <c r="H318" s="1058">
        <v>0</v>
      </c>
      <c r="I318" s="1058"/>
      <c r="J318" s="1527">
        <v>355842961</v>
      </c>
      <c r="L318" s="600"/>
      <c r="M318" s="601"/>
      <c r="N318" s="601"/>
      <c r="O318" s="601"/>
      <c r="P318" s="601"/>
      <c r="Q318" s="601"/>
      <c r="R318" s="600"/>
    </row>
    <row r="319" spans="2:18" s="598" customFormat="1" ht="14.25" customHeight="1">
      <c r="B319" s="1494" t="s">
        <v>832</v>
      </c>
      <c r="C319" s="618"/>
      <c r="D319" s="618"/>
      <c r="E319" s="618"/>
      <c r="F319" s="618"/>
      <c r="G319" s="618"/>
      <c r="H319" s="1058">
        <v>0</v>
      </c>
      <c r="I319" s="1058"/>
      <c r="J319" s="1527">
        <v>38317536</v>
      </c>
      <c r="L319" s="600"/>
      <c r="M319" s="601"/>
      <c r="N319" s="601"/>
      <c r="O319" s="601"/>
      <c r="P319" s="601"/>
      <c r="Q319" s="601"/>
      <c r="R319" s="600"/>
    </row>
    <row r="320" spans="2:18" s="598" customFormat="1" ht="14.25" customHeight="1">
      <c r="B320" s="1494" t="s">
        <v>833</v>
      </c>
      <c r="C320" s="618"/>
      <c r="D320" s="618"/>
      <c r="E320" s="618"/>
      <c r="F320" s="618"/>
      <c r="G320" s="618"/>
      <c r="H320" s="1058">
        <v>0</v>
      </c>
      <c r="I320" s="1058"/>
      <c r="J320" s="1527">
        <v>857068600</v>
      </c>
      <c r="L320" s="600"/>
      <c r="M320" s="601"/>
      <c r="N320" s="601"/>
      <c r="O320" s="601"/>
      <c r="P320" s="601"/>
      <c r="Q320" s="601"/>
      <c r="R320" s="600"/>
    </row>
    <row r="321" spans="2:18" s="598" customFormat="1" ht="14.25" customHeight="1">
      <c r="B321" s="1494" t="s">
        <v>834</v>
      </c>
      <c r="C321" s="618"/>
      <c r="D321" s="618"/>
      <c r="E321" s="618"/>
      <c r="F321" s="618"/>
      <c r="G321" s="618"/>
      <c r="H321" s="1058">
        <v>0</v>
      </c>
      <c r="I321" s="1058"/>
      <c r="J321" s="1527">
        <v>80401596</v>
      </c>
      <c r="L321" s="600"/>
      <c r="M321" s="601"/>
      <c r="N321" s="601"/>
      <c r="O321" s="601"/>
      <c r="P321" s="601"/>
      <c r="Q321" s="601"/>
      <c r="R321" s="600"/>
    </row>
    <row r="322" spans="2:18" s="598" customFormat="1" ht="14.25" customHeight="1">
      <c r="B322" s="1494" t="s">
        <v>835</v>
      </c>
      <c r="C322" s="618"/>
      <c r="D322" s="618"/>
      <c r="E322" s="618"/>
      <c r="F322" s="618"/>
      <c r="G322" s="618"/>
      <c r="H322" s="1058">
        <v>0</v>
      </c>
      <c r="I322" s="1058"/>
      <c r="J322" s="1527">
        <v>643752250</v>
      </c>
      <c r="L322" s="600"/>
      <c r="M322" s="601"/>
      <c r="N322" s="601"/>
      <c r="O322" s="601"/>
      <c r="P322" s="601"/>
      <c r="Q322" s="601"/>
      <c r="R322" s="600"/>
    </row>
    <row r="323" spans="2:18" s="598" customFormat="1" ht="14.25" customHeight="1">
      <c r="B323" s="1494" t="s">
        <v>836</v>
      </c>
      <c r="C323" s="618"/>
      <c r="D323" s="618"/>
      <c r="E323" s="618"/>
      <c r="F323" s="618"/>
      <c r="G323" s="618"/>
      <c r="H323" s="1058">
        <v>0</v>
      </c>
      <c r="I323" s="1058"/>
      <c r="J323" s="1527">
        <v>26112595</v>
      </c>
      <c r="L323" s="600"/>
      <c r="M323" s="601"/>
      <c r="N323" s="601"/>
      <c r="O323" s="601"/>
      <c r="P323" s="601"/>
      <c r="Q323" s="601"/>
      <c r="R323" s="600"/>
    </row>
    <row r="324" spans="2:18" s="598" customFormat="1" ht="14.25" customHeight="1">
      <c r="B324" s="1510" t="s">
        <v>831</v>
      </c>
      <c r="C324" s="618"/>
      <c r="D324" s="618"/>
      <c r="E324" s="618"/>
      <c r="F324" s="618"/>
      <c r="G324" s="618"/>
      <c r="H324" s="1058">
        <v>0</v>
      </c>
      <c r="I324" s="1058"/>
      <c r="J324" s="1527">
        <v>194810000</v>
      </c>
      <c r="L324" s="600"/>
      <c r="M324" s="601"/>
      <c r="N324" s="601"/>
      <c r="O324" s="601"/>
      <c r="P324" s="601"/>
      <c r="Q324" s="601"/>
      <c r="R324" s="600"/>
    </row>
    <row r="325" spans="2:18" s="594" customFormat="1" ht="15">
      <c r="B325" s="1495" t="s">
        <v>1438</v>
      </c>
      <c r="C325" s="624"/>
      <c r="D325" s="624"/>
      <c r="E325" s="624"/>
      <c r="F325" s="624"/>
      <c r="G325" s="624"/>
      <c r="H325" s="1285">
        <v>226911358</v>
      </c>
      <c r="I325" s="1061"/>
      <c r="J325" s="1527">
        <v>347206924</v>
      </c>
      <c r="L325" s="626"/>
      <c r="M325" s="632"/>
      <c r="N325" s="674"/>
      <c r="O325" s="632"/>
      <c r="P325" s="632"/>
      <c r="Q325" s="632"/>
      <c r="R325" s="596"/>
    </row>
    <row r="326" spans="2:18" s="594" customFormat="1" ht="15">
      <c r="B326" s="1495" t="s">
        <v>1439</v>
      </c>
      <c r="C326" s="624"/>
      <c r="D326" s="624"/>
      <c r="E326" s="624"/>
      <c r="F326" s="624"/>
      <c r="G326" s="624"/>
      <c r="H326" s="1285">
        <v>320974997</v>
      </c>
      <c r="I326" s="1061"/>
      <c r="J326" s="1527">
        <v>120975000</v>
      </c>
      <c r="L326" s="626"/>
      <c r="M326" s="632"/>
      <c r="N326" s="674"/>
      <c r="O326" s="632"/>
      <c r="P326" s="632"/>
      <c r="Q326" s="632"/>
      <c r="R326" s="596"/>
    </row>
    <row r="327" spans="2:18" s="594" customFormat="1" ht="15">
      <c r="B327" s="1495" t="s">
        <v>1440</v>
      </c>
      <c r="C327" s="624"/>
      <c r="D327" s="624"/>
      <c r="E327" s="624"/>
      <c r="F327" s="624"/>
      <c r="G327" s="624"/>
      <c r="H327" s="1285">
        <v>0</v>
      </c>
      <c r="I327" s="1061"/>
      <c r="J327" s="1527">
        <v>307556113</v>
      </c>
      <c r="L327" s="626"/>
      <c r="M327" s="632"/>
      <c r="N327" s="674"/>
      <c r="O327" s="632"/>
      <c r="P327" s="632"/>
      <c r="Q327" s="632"/>
      <c r="R327" s="596"/>
    </row>
    <row r="328" spans="2:18" s="594" customFormat="1" ht="15">
      <c r="B328" s="1495" t="s">
        <v>1441</v>
      </c>
      <c r="C328" s="624"/>
      <c r="D328" s="624"/>
      <c r="E328" s="624"/>
      <c r="F328" s="624"/>
      <c r="G328" s="624"/>
      <c r="H328" s="1285">
        <v>1235815849</v>
      </c>
      <c r="I328" s="1061"/>
      <c r="J328" s="1527">
        <v>1235815849</v>
      </c>
      <c r="L328" s="626"/>
      <c r="M328" s="632"/>
      <c r="N328" s="674"/>
      <c r="O328" s="632"/>
      <c r="P328" s="632"/>
      <c r="Q328" s="632"/>
      <c r="R328" s="596"/>
    </row>
    <row r="329" spans="2:18" s="594" customFormat="1" ht="15">
      <c r="B329" s="1495" t="s">
        <v>482</v>
      </c>
      <c r="C329" s="624"/>
      <c r="D329" s="624"/>
      <c r="E329" s="624"/>
      <c r="F329" s="624"/>
      <c r="G329" s="624"/>
      <c r="H329" s="1285">
        <v>98000000</v>
      </c>
      <c r="I329" s="1061"/>
      <c r="J329" s="1527">
        <v>379000000</v>
      </c>
      <c r="L329" s="626"/>
      <c r="M329" s="632"/>
      <c r="N329" s="674"/>
      <c r="O329" s="632"/>
      <c r="P329" s="632"/>
      <c r="Q329" s="632"/>
      <c r="R329" s="596"/>
    </row>
    <row r="330" spans="2:18" s="594" customFormat="1" ht="15">
      <c r="B330" s="1495" t="s">
        <v>120</v>
      </c>
      <c r="C330" s="624"/>
      <c r="D330" s="624"/>
      <c r="E330" s="624"/>
      <c r="F330" s="624"/>
      <c r="G330" s="624"/>
      <c r="H330" s="1285">
        <v>10585566</v>
      </c>
      <c r="I330" s="1061"/>
      <c r="J330" s="1527">
        <v>10585566</v>
      </c>
      <c r="L330" s="626"/>
      <c r="M330" s="632"/>
      <c r="N330" s="674"/>
      <c r="O330" s="632"/>
      <c r="P330" s="632"/>
      <c r="Q330" s="632"/>
      <c r="R330" s="596"/>
    </row>
    <row r="331" spans="2:18" s="594" customFormat="1" ht="15">
      <c r="B331" s="1495" t="s">
        <v>121</v>
      </c>
      <c r="C331" s="624"/>
      <c r="D331" s="624"/>
      <c r="E331" s="624"/>
      <c r="F331" s="624"/>
      <c r="G331" s="624"/>
      <c r="H331" s="1285">
        <v>263082866</v>
      </c>
      <c r="I331" s="1061"/>
      <c r="J331" s="1527">
        <v>15277684</v>
      </c>
      <c r="L331" s="626"/>
      <c r="M331" s="632"/>
      <c r="N331" s="674"/>
      <c r="O331" s="632"/>
      <c r="P331" s="632"/>
      <c r="Q331" s="632"/>
      <c r="R331" s="596"/>
    </row>
    <row r="332" spans="2:18" s="594" customFormat="1" ht="15">
      <c r="B332" s="1495" t="s">
        <v>122</v>
      </c>
      <c r="C332" s="624"/>
      <c r="D332" s="624"/>
      <c r="E332" s="624"/>
      <c r="F332" s="624"/>
      <c r="G332" s="624"/>
      <c r="H332" s="1285">
        <v>3742471701</v>
      </c>
      <c r="I332" s="1061"/>
      <c r="J332" s="1527">
        <v>1326434328</v>
      </c>
      <c r="L332" s="626"/>
      <c r="M332" s="632"/>
      <c r="N332" s="674"/>
      <c r="O332" s="632"/>
      <c r="P332" s="632"/>
      <c r="Q332" s="632"/>
      <c r="R332" s="596"/>
    </row>
    <row r="333" spans="2:18" s="594" customFormat="1" ht="15">
      <c r="B333" s="1495" t="s">
        <v>123</v>
      </c>
      <c r="C333" s="624"/>
      <c r="D333" s="624"/>
      <c r="E333" s="624"/>
      <c r="F333" s="624"/>
      <c r="G333" s="624"/>
      <c r="H333" s="1285">
        <v>639927750</v>
      </c>
      <c r="I333" s="1061"/>
      <c r="J333" s="1527">
        <v>450142000</v>
      </c>
      <c r="L333" s="626"/>
      <c r="M333" s="632"/>
      <c r="N333" s="674"/>
      <c r="O333" s="632"/>
      <c r="P333" s="632"/>
      <c r="Q333" s="632"/>
      <c r="R333" s="596"/>
    </row>
    <row r="334" spans="2:18" s="594" customFormat="1" ht="15">
      <c r="B334" s="1495" t="s">
        <v>124</v>
      </c>
      <c r="C334" s="624"/>
      <c r="D334" s="624"/>
      <c r="E334" s="624"/>
      <c r="F334" s="624"/>
      <c r="G334" s="624"/>
      <c r="H334" s="1285">
        <v>988680000</v>
      </c>
      <c r="I334" s="1061"/>
      <c r="J334" s="1527">
        <v>377979500</v>
      </c>
      <c r="L334" s="626"/>
      <c r="M334" s="632"/>
      <c r="N334" s="674"/>
      <c r="O334" s="632"/>
      <c r="P334" s="632"/>
      <c r="Q334" s="632"/>
      <c r="R334" s="596"/>
    </row>
    <row r="335" spans="2:18" s="594" customFormat="1" ht="15">
      <c r="B335" s="1495" t="s">
        <v>125</v>
      </c>
      <c r="C335" s="624"/>
      <c r="D335" s="624"/>
      <c r="E335" s="624"/>
      <c r="F335" s="624"/>
      <c r="G335" s="624"/>
      <c r="H335" s="1285">
        <v>310141618</v>
      </c>
      <c r="I335" s="1061"/>
      <c r="J335" s="1527">
        <v>76734043</v>
      </c>
      <c r="L335" s="626"/>
      <c r="M335" s="632"/>
      <c r="N335" s="674"/>
      <c r="O335" s="632"/>
      <c r="P335" s="632"/>
      <c r="Q335" s="632"/>
      <c r="R335" s="596"/>
    </row>
    <row r="336" spans="2:18" s="594" customFormat="1" ht="15">
      <c r="B336" s="1495" t="s">
        <v>126</v>
      </c>
      <c r="C336" s="624"/>
      <c r="D336" s="624"/>
      <c r="E336" s="624"/>
      <c r="F336" s="624"/>
      <c r="G336" s="624"/>
      <c r="H336" s="1285">
        <v>60720000</v>
      </c>
      <c r="I336" s="1061"/>
      <c r="J336" s="1527">
        <v>60720000</v>
      </c>
      <c r="L336" s="626"/>
      <c r="M336" s="632"/>
      <c r="N336" s="674"/>
      <c r="O336" s="632"/>
      <c r="P336" s="632"/>
      <c r="Q336" s="632"/>
      <c r="R336" s="596"/>
    </row>
    <row r="337" spans="2:18" s="594" customFormat="1" ht="15">
      <c r="B337" s="1495" t="s">
        <v>127</v>
      </c>
      <c r="C337" s="624"/>
      <c r="D337" s="624"/>
      <c r="E337" s="624"/>
      <c r="F337" s="624"/>
      <c r="G337" s="624"/>
      <c r="H337" s="1285">
        <v>2337202</v>
      </c>
      <c r="I337" s="1061"/>
      <c r="J337" s="1527">
        <v>2337202</v>
      </c>
      <c r="L337" s="626"/>
      <c r="M337" s="632"/>
      <c r="N337" s="674"/>
      <c r="O337" s="632"/>
      <c r="P337" s="632"/>
      <c r="Q337" s="632"/>
      <c r="R337" s="596"/>
    </row>
    <row r="338" spans="2:18" s="594" customFormat="1" ht="15">
      <c r="B338" s="1495" t="s">
        <v>128</v>
      </c>
      <c r="C338" s="624"/>
      <c r="D338" s="624"/>
      <c r="E338" s="624"/>
      <c r="F338" s="624"/>
      <c r="G338" s="624"/>
      <c r="H338" s="1285">
        <v>33880000</v>
      </c>
      <c r="I338" s="1061"/>
      <c r="J338" s="1285" t="s">
        <v>1389</v>
      </c>
      <c r="L338" s="626"/>
      <c r="M338" s="632"/>
      <c r="N338" s="674"/>
      <c r="O338" s="632"/>
      <c r="P338" s="632"/>
      <c r="Q338" s="632"/>
      <c r="R338" s="596"/>
    </row>
    <row r="339" spans="2:18" s="594" customFormat="1" ht="15">
      <c r="B339" s="1495" t="s">
        <v>129</v>
      </c>
      <c r="C339" s="624"/>
      <c r="D339" s="624"/>
      <c r="E339" s="624"/>
      <c r="F339" s="624"/>
      <c r="G339" s="624"/>
      <c r="H339" s="1285">
        <v>673367275</v>
      </c>
      <c r="I339" s="1061"/>
      <c r="J339" s="1527">
        <v>1389692815</v>
      </c>
      <c r="L339" s="626"/>
      <c r="M339" s="632"/>
      <c r="N339" s="674"/>
      <c r="O339" s="632"/>
      <c r="P339" s="632"/>
      <c r="Q339" s="632"/>
      <c r="R339" s="596"/>
    </row>
    <row r="340" spans="2:18" s="594" customFormat="1" ht="15">
      <c r="B340" s="1495" t="s">
        <v>130</v>
      </c>
      <c r="C340" s="624"/>
      <c r="D340" s="624"/>
      <c r="E340" s="624"/>
      <c r="F340" s="624"/>
      <c r="G340" s="624"/>
      <c r="H340" s="1285">
        <v>8842000</v>
      </c>
      <c r="I340" s="1061"/>
      <c r="J340" s="1527">
        <v>8842000</v>
      </c>
      <c r="L340" s="626"/>
      <c r="M340" s="632"/>
      <c r="N340" s="674"/>
      <c r="O340" s="632"/>
      <c r="P340" s="632"/>
      <c r="Q340" s="632"/>
      <c r="R340" s="596"/>
    </row>
    <row r="341" spans="2:18" s="594" customFormat="1" ht="15">
      <c r="B341" s="1495" t="s">
        <v>1200</v>
      </c>
      <c r="C341" s="624"/>
      <c r="D341" s="624"/>
      <c r="E341" s="624"/>
      <c r="F341" s="624"/>
      <c r="G341" s="624"/>
      <c r="H341" s="1285">
        <v>29824300</v>
      </c>
      <c r="I341" s="1061"/>
      <c r="J341" s="1527">
        <v>29824300</v>
      </c>
      <c r="L341" s="626"/>
      <c r="M341" s="632"/>
      <c r="N341" s="674"/>
      <c r="O341" s="632"/>
      <c r="P341" s="632"/>
      <c r="Q341" s="632"/>
      <c r="R341" s="596"/>
    </row>
    <row r="342" spans="2:18" s="594" customFormat="1" ht="15">
      <c r="B342" s="1495" t="s">
        <v>131</v>
      </c>
      <c r="C342" s="624"/>
      <c r="D342" s="624"/>
      <c r="E342" s="624"/>
      <c r="F342" s="624"/>
      <c r="G342" s="624"/>
      <c r="H342" s="1285">
        <v>689989886</v>
      </c>
      <c r="I342" s="1061"/>
      <c r="J342" s="1527">
        <v>689989886</v>
      </c>
      <c r="L342" s="626"/>
      <c r="M342" s="632"/>
      <c r="N342" s="674"/>
      <c r="O342" s="632"/>
      <c r="P342" s="632"/>
      <c r="Q342" s="632"/>
      <c r="R342" s="596"/>
    </row>
    <row r="343" spans="2:18" s="594" customFormat="1" ht="15">
      <c r="B343" s="1495" t="s">
        <v>1047</v>
      </c>
      <c r="C343" s="624"/>
      <c r="D343" s="624"/>
      <c r="E343" s="624"/>
      <c r="F343" s="624"/>
      <c r="G343" s="624"/>
      <c r="H343" s="1285">
        <v>4300000</v>
      </c>
      <c r="I343" s="1061"/>
      <c r="J343" s="1527">
        <v>4300000</v>
      </c>
      <c r="L343" s="626"/>
      <c r="M343" s="632"/>
      <c r="N343" s="674"/>
      <c r="O343" s="632"/>
      <c r="P343" s="632"/>
      <c r="Q343" s="632"/>
      <c r="R343" s="596"/>
    </row>
    <row r="344" spans="2:18" s="594" customFormat="1" ht="15">
      <c r="B344" s="1495" t="s">
        <v>1048</v>
      </c>
      <c r="C344" s="624"/>
      <c r="D344" s="624"/>
      <c r="E344" s="624"/>
      <c r="F344" s="624"/>
      <c r="G344" s="624"/>
      <c r="H344" s="1285">
        <v>9864000</v>
      </c>
      <c r="I344" s="1061"/>
      <c r="J344" s="1527">
        <v>9864000</v>
      </c>
      <c r="L344" s="626"/>
      <c r="M344" s="632"/>
      <c r="N344" s="674"/>
      <c r="O344" s="632"/>
      <c r="P344" s="632"/>
      <c r="Q344" s="632"/>
      <c r="R344" s="596"/>
    </row>
    <row r="345" spans="2:18" s="594" customFormat="1" ht="15">
      <c r="B345" s="1495" t="s">
        <v>1207</v>
      </c>
      <c r="C345" s="624"/>
      <c r="D345" s="624"/>
      <c r="E345" s="624"/>
      <c r="F345" s="624"/>
      <c r="G345" s="624"/>
      <c r="H345" s="1285">
        <v>31200000</v>
      </c>
      <c r="I345" s="1061"/>
      <c r="J345" s="1527">
        <v>31200000</v>
      </c>
      <c r="L345" s="626"/>
      <c r="M345" s="632"/>
      <c r="N345" s="674"/>
      <c r="O345" s="632"/>
      <c r="P345" s="632"/>
      <c r="Q345" s="632"/>
      <c r="R345" s="596"/>
    </row>
    <row r="346" spans="2:18" s="594" customFormat="1" ht="15">
      <c r="B346" s="1495" t="s">
        <v>1049</v>
      </c>
      <c r="C346" s="624"/>
      <c r="D346" s="624"/>
      <c r="E346" s="624"/>
      <c r="F346" s="624"/>
      <c r="G346" s="624"/>
      <c r="H346" s="1285">
        <v>20325000</v>
      </c>
      <c r="I346" s="1061"/>
      <c r="J346" s="1527">
        <v>20325000</v>
      </c>
      <c r="L346" s="626"/>
      <c r="M346" s="632"/>
      <c r="N346" s="674"/>
      <c r="O346" s="632"/>
      <c r="P346" s="632"/>
      <c r="Q346" s="632"/>
      <c r="R346" s="596"/>
    </row>
    <row r="347" spans="2:18" s="594" customFormat="1" ht="15">
      <c r="B347" s="1495" t="s">
        <v>1050</v>
      </c>
      <c r="C347" s="624"/>
      <c r="D347" s="624"/>
      <c r="E347" s="624"/>
      <c r="F347" s="624"/>
      <c r="G347" s="624"/>
      <c r="H347" s="1285">
        <v>87060000</v>
      </c>
      <c r="I347" s="1061"/>
      <c r="J347" s="1285">
        <v>0</v>
      </c>
      <c r="L347" s="626"/>
      <c r="M347" s="632"/>
      <c r="N347" s="674"/>
      <c r="O347" s="632"/>
      <c r="P347" s="632"/>
      <c r="Q347" s="632"/>
      <c r="R347" s="596"/>
    </row>
    <row r="348" spans="2:18" s="594" customFormat="1" ht="15">
      <c r="B348" s="1495" t="s">
        <v>1210</v>
      </c>
      <c r="C348" s="624"/>
      <c r="D348" s="624"/>
      <c r="E348" s="624"/>
      <c r="F348" s="624"/>
      <c r="G348" s="624"/>
      <c r="H348" s="1285">
        <v>200000</v>
      </c>
      <c r="I348" s="1061"/>
      <c r="J348" s="1527">
        <v>200000</v>
      </c>
      <c r="L348" s="626"/>
      <c r="M348" s="632"/>
      <c r="N348" s="674"/>
      <c r="O348" s="632"/>
      <c r="P348" s="632"/>
      <c r="Q348" s="632"/>
      <c r="R348" s="596"/>
    </row>
    <row r="349" spans="2:18" s="594" customFormat="1" ht="15">
      <c r="B349" s="1495" t="s">
        <v>1051</v>
      </c>
      <c r="C349" s="624"/>
      <c r="D349" s="624"/>
      <c r="E349" s="624"/>
      <c r="F349" s="624"/>
      <c r="G349" s="624"/>
      <c r="H349" s="1285">
        <v>28200000</v>
      </c>
      <c r="I349" s="1061"/>
      <c r="J349" s="1527">
        <v>28200000</v>
      </c>
      <c r="L349" s="626"/>
      <c r="M349" s="632"/>
      <c r="N349" s="674"/>
      <c r="O349" s="632"/>
      <c r="P349" s="632"/>
      <c r="Q349" s="632"/>
      <c r="R349" s="596"/>
    </row>
    <row r="350" spans="2:18" s="594" customFormat="1" ht="15">
      <c r="B350" s="1495" t="s">
        <v>1052</v>
      </c>
      <c r="C350" s="624"/>
      <c r="D350" s="624"/>
      <c r="E350" s="624"/>
      <c r="F350" s="624"/>
      <c r="G350" s="624"/>
      <c r="H350" s="1285">
        <v>684485000</v>
      </c>
      <c r="I350" s="1061"/>
      <c r="J350" s="1527">
        <v>684485000</v>
      </c>
      <c r="L350" s="626"/>
      <c r="M350" s="632"/>
      <c r="N350" s="674"/>
      <c r="O350" s="632"/>
      <c r="P350" s="632"/>
      <c r="Q350" s="632"/>
      <c r="R350" s="596"/>
    </row>
    <row r="351" spans="2:18" s="594" customFormat="1" ht="15">
      <c r="B351" s="1495" t="s">
        <v>507</v>
      </c>
      <c r="C351" s="624"/>
      <c r="D351" s="624"/>
      <c r="E351" s="624"/>
      <c r="F351" s="624"/>
      <c r="G351" s="624"/>
      <c r="H351" s="1285">
        <v>1093052175</v>
      </c>
      <c r="I351" s="1061"/>
      <c r="J351" s="1527">
        <v>2581597700</v>
      </c>
      <c r="L351" s="626"/>
      <c r="M351" s="632"/>
      <c r="N351" s="674"/>
      <c r="O351" s="632"/>
      <c r="P351" s="632"/>
      <c r="Q351" s="632"/>
      <c r="R351" s="596"/>
    </row>
    <row r="352" spans="2:18" s="594" customFormat="1" ht="15">
      <c r="B352" s="1495" t="s">
        <v>1053</v>
      </c>
      <c r="C352" s="624"/>
      <c r="D352" s="624"/>
      <c r="E352" s="624"/>
      <c r="F352" s="624"/>
      <c r="G352" s="624"/>
      <c r="H352" s="1285">
        <v>194551500</v>
      </c>
      <c r="I352" s="1061"/>
      <c r="J352" s="1285">
        <v>0</v>
      </c>
      <c r="L352" s="626"/>
      <c r="M352" s="632"/>
      <c r="N352" s="674"/>
      <c r="O352" s="632"/>
      <c r="P352" s="632"/>
      <c r="Q352" s="632"/>
      <c r="R352" s="596"/>
    </row>
    <row r="353" spans="2:18" s="594" customFormat="1" ht="15">
      <c r="B353" s="1495" t="s">
        <v>1054</v>
      </c>
      <c r="C353" s="624"/>
      <c r="D353" s="624"/>
      <c r="E353" s="624"/>
      <c r="F353" s="624"/>
      <c r="G353" s="624"/>
      <c r="H353" s="1285">
        <v>1893429000</v>
      </c>
      <c r="I353" s="1061"/>
      <c r="J353" s="1285">
        <v>0</v>
      </c>
      <c r="L353" s="626"/>
      <c r="M353" s="632"/>
      <c r="N353" s="674"/>
      <c r="O353" s="632"/>
      <c r="P353" s="632"/>
      <c r="Q353" s="632"/>
      <c r="R353" s="596"/>
    </row>
    <row r="354" spans="2:18" s="594" customFormat="1" ht="15">
      <c r="B354" s="1495" t="s">
        <v>401</v>
      </c>
      <c r="C354" s="624"/>
      <c r="D354" s="624"/>
      <c r="E354" s="624"/>
      <c r="F354" s="624"/>
      <c r="G354" s="624"/>
      <c r="H354" s="1285">
        <v>0</v>
      </c>
      <c r="I354" s="1061"/>
      <c r="J354" s="1285">
        <v>41369500</v>
      </c>
      <c r="L354" s="626"/>
      <c r="M354" s="632"/>
      <c r="N354" s="674"/>
      <c r="O354" s="632"/>
      <c r="P354" s="632"/>
      <c r="Q354" s="632"/>
      <c r="R354" s="596"/>
    </row>
    <row r="355" spans="2:18" s="594" customFormat="1" ht="15">
      <c r="B355" s="1495" t="s">
        <v>1055</v>
      </c>
      <c r="C355" s="624"/>
      <c r="D355" s="624"/>
      <c r="E355" s="624"/>
      <c r="F355" s="624"/>
      <c r="G355" s="624"/>
      <c r="H355" s="1285">
        <v>156249406</v>
      </c>
      <c r="I355" s="1061"/>
      <c r="J355" s="1285">
        <v>0</v>
      </c>
      <c r="L355" s="626"/>
      <c r="M355" s="632"/>
      <c r="N355" s="674"/>
      <c r="O355" s="632"/>
      <c r="P355" s="632"/>
      <c r="Q355" s="632"/>
      <c r="R355" s="596"/>
    </row>
    <row r="356" spans="2:18" s="594" customFormat="1" ht="15" hidden="1">
      <c r="B356" s="1495" t="s">
        <v>509</v>
      </c>
      <c r="C356" s="624"/>
      <c r="D356" s="624"/>
      <c r="E356" s="624"/>
      <c r="F356" s="624"/>
      <c r="G356" s="624"/>
      <c r="H356" s="1285"/>
      <c r="I356" s="1061"/>
      <c r="J356" s="1285"/>
      <c r="L356" s="626"/>
      <c r="M356" s="632"/>
      <c r="N356" s="674"/>
      <c r="O356" s="632"/>
      <c r="P356" s="632"/>
      <c r="Q356" s="632"/>
      <c r="R356" s="596"/>
    </row>
    <row r="357" spans="2:18" s="594" customFormat="1" ht="15" hidden="1">
      <c r="B357" s="1495" t="s">
        <v>510</v>
      </c>
      <c r="C357" s="624"/>
      <c r="D357" s="624"/>
      <c r="E357" s="624"/>
      <c r="F357" s="624"/>
      <c r="G357" s="624"/>
      <c r="H357" s="1285"/>
      <c r="I357" s="1061"/>
      <c r="J357" s="1285"/>
      <c r="L357" s="626"/>
      <c r="M357" s="632"/>
      <c r="N357" s="674"/>
      <c r="O357" s="632"/>
      <c r="P357" s="632"/>
      <c r="Q357" s="632"/>
      <c r="R357" s="596"/>
    </row>
    <row r="358" spans="2:18" s="594" customFormat="1" ht="15" hidden="1">
      <c r="B358" s="1495" t="s">
        <v>511</v>
      </c>
      <c r="C358" s="624"/>
      <c r="D358" s="624"/>
      <c r="E358" s="624"/>
      <c r="F358" s="624"/>
      <c r="G358" s="624"/>
      <c r="H358" s="1285"/>
      <c r="I358" s="1061"/>
      <c r="J358" s="1285"/>
      <c r="L358" s="626"/>
      <c r="M358" s="632"/>
      <c r="N358" s="674"/>
      <c r="O358" s="632"/>
      <c r="P358" s="632"/>
      <c r="Q358" s="632"/>
      <c r="R358" s="596"/>
    </row>
    <row r="359" spans="2:18" s="594" customFormat="1" ht="15" hidden="1">
      <c r="B359" s="1495" t="s">
        <v>1443</v>
      </c>
      <c r="C359" s="624"/>
      <c r="D359" s="624"/>
      <c r="E359" s="624"/>
      <c r="F359" s="624"/>
      <c r="G359" s="624"/>
      <c r="H359" s="1285"/>
      <c r="I359" s="1061"/>
      <c r="J359" s="1285"/>
      <c r="L359" s="626"/>
      <c r="M359" s="632"/>
      <c r="N359" s="674"/>
      <c r="O359" s="632"/>
      <c r="P359" s="632"/>
      <c r="Q359" s="632"/>
      <c r="R359" s="596"/>
    </row>
    <row r="360" spans="2:18" s="594" customFormat="1" ht="15" hidden="1">
      <c r="B360" s="1495" t="s">
        <v>1444</v>
      </c>
      <c r="C360" s="624"/>
      <c r="D360" s="624"/>
      <c r="E360" s="624"/>
      <c r="F360" s="624"/>
      <c r="G360" s="624"/>
      <c r="H360" s="1285"/>
      <c r="I360" s="1061"/>
      <c r="J360" s="1285"/>
      <c r="L360" s="626"/>
      <c r="M360" s="632"/>
      <c r="N360" s="674"/>
      <c r="O360" s="632"/>
      <c r="P360" s="632"/>
      <c r="Q360" s="632"/>
      <c r="R360" s="596"/>
    </row>
    <row r="361" spans="2:18" s="594" customFormat="1" ht="15" hidden="1">
      <c r="B361" s="1495" t="s">
        <v>1445</v>
      </c>
      <c r="C361" s="624"/>
      <c r="D361" s="624"/>
      <c r="E361" s="624"/>
      <c r="F361" s="624"/>
      <c r="G361" s="624"/>
      <c r="H361" s="1285"/>
      <c r="I361" s="1061"/>
      <c r="J361" s="1285"/>
      <c r="L361" s="626"/>
      <c r="M361" s="632"/>
      <c r="N361" s="674"/>
      <c r="O361" s="632"/>
      <c r="P361" s="632"/>
      <c r="Q361" s="632"/>
      <c r="R361" s="596"/>
    </row>
    <row r="362" spans="2:18" s="594" customFormat="1" ht="15" hidden="1">
      <c r="B362" s="1495" t="s">
        <v>515</v>
      </c>
      <c r="C362" s="624"/>
      <c r="D362" s="624"/>
      <c r="E362" s="624"/>
      <c r="F362" s="624"/>
      <c r="G362" s="624"/>
      <c r="H362" s="1285"/>
      <c r="I362" s="1061"/>
      <c r="J362" s="1285"/>
      <c r="L362" s="626"/>
      <c r="M362" s="632"/>
      <c r="N362" s="674"/>
      <c r="O362" s="632"/>
      <c r="P362" s="632"/>
      <c r="Q362" s="632"/>
      <c r="R362" s="596"/>
    </row>
    <row r="363" spans="2:18" s="594" customFormat="1" ht="15" hidden="1">
      <c r="B363" s="1495" t="s">
        <v>482</v>
      </c>
      <c r="C363" s="624"/>
      <c r="D363" s="624"/>
      <c r="E363" s="624"/>
      <c r="F363" s="624"/>
      <c r="G363" s="624"/>
      <c r="H363" s="1285"/>
      <c r="I363" s="1061"/>
      <c r="J363" s="1285"/>
      <c r="L363" s="626"/>
      <c r="M363" s="632"/>
      <c r="N363" s="674"/>
      <c r="O363" s="632"/>
      <c r="P363" s="632"/>
      <c r="Q363" s="632"/>
      <c r="R363" s="596"/>
    </row>
    <row r="364" spans="2:18" s="594" customFormat="1" ht="15" hidden="1">
      <c r="B364" s="1495" t="s">
        <v>483</v>
      </c>
      <c r="C364" s="624"/>
      <c r="D364" s="624"/>
      <c r="E364" s="624"/>
      <c r="F364" s="624"/>
      <c r="G364" s="624"/>
      <c r="H364" s="1285"/>
      <c r="I364" s="1061"/>
      <c r="J364" s="1285"/>
      <c r="L364" s="626"/>
      <c r="M364" s="632"/>
      <c r="N364" s="674"/>
      <c r="O364" s="632"/>
      <c r="P364" s="632"/>
      <c r="Q364" s="632"/>
      <c r="R364" s="596"/>
    </row>
    <row r="365" spans="2:18" s="594" customFormat="1" ht="15" hidden="1">
      <c r="B365" s="1495" t="s">
        <v>484</v>
      </c>
      <c r="C365" s="624"/>
      <c r="D365" s="624"/>
      <c r="E365" s="624"/>
      <c r="F365" s="624"/>
      <c r="G365" s="624"/>
      <c r="H365" s="1285"/>
      <c r="I365" s="1061"/>
      <c r="J365" s="1285"/>
      <c r="L365" s="626"/>
      <c r="M365" s="632"/>
      <c r="N365" s="674"/>
      <c r="O365" s="632"/>
      <c r="P365" s="632"/>
      <c r="Q365" s="632"/>
      <c r="R365" s="596"/>
    </row>
    <row r="366" spans="2:18" s="594" customFormat="1" ht="15" hidden="1">
      <c r="B366" s="1495" t="s">
        <v>485</v>
      </c>
      <c r="C366" s="624"/>
      <c r="D366" s="624"/>
      <c r="E366" s="624"/>
      <c r="F366" s="624"/>
      <c r="G366" s="624"/>
      <c r="H366" s="1285"/>
      <c r="I366" s="1061"/>
      <c r="J366" s="1285"/>
      <c r="L366" s="626"/>
      <c r="M366" s="632"/>
      <c r="N366" s="674"/>
      <c r="O366" s="632"/>
      <c r="P366" s="632"/>
      <c r="Q366" s="632"/>
      <c r="R366" s="596"/>
    </row>
    <row r="367" spans="2:18" s="594" customFormat="1" ht="15" hidden="1">
      <c r="B367" s="1495" t="s">
        <v>486</v>
      </c>
      <c r="C367" s="624"/>
      <c r="D367" s="624"/>
      <c r="E367" s="624"/>
      <c r="F367" s="624"/>
      <c r="G367" s="624"/>
      <c r="H367" s="1285"/>
      <c r="I367" s="1061"/>
      <c r="J367" s="1285"/>
      <c r="L367" s="626"/>
      <c r="M367" s="632"/>
      <c r="N367" s="674"/>
      <c r="O367" s="632"/>
      <c r="P367" s="632"/>
      <c r="Q367" s="632"/>
      <c r="R367" s="596"/>
    </row>
    <row r="368" spans="2:18" s="594" customFormat="1" ht="15" hidden="1">
      <c r="B368" s="1495" t="s">
        <v>1375</v>
      </c>
      <c r="C368" s="624"/>
      <c r="D368" s="624"/>
      <c r="E368" s="624"/>
      <c r="F368" s="624"/>
      <c r="G368" s="624"/>
      <c r="H368" s="1285"/>
      <c r="I368" s="1061"/>
      <c r="J368" s="1285"/>
      <c r="L368" s="626"/>
      <c r="M368" s="632"/>
      <c r="N368" s="674"/>
      <c r="O368" s="632"/>
      <c r="P368" s="632"/>
      <c r="Q368" s="632"/>
      <c r="R368" s="596"/>
    </row>
    <row r="369" spans="2:18" s="594" customFormat="1" ht="15" hidden="1">
      <c r="B369" s="1495" t="s">
        <v>1376</v>
      </c>
      <c r="C369" s="624"/>
      <c r="D369" s="624"/>
      <c r="E369" s="624"/>
      <c r="F369" s="624"/>
      <c r="G369" s="624"/>
      <c r="H369" s="1285"/>
      <c r="I369" s="1061"/>
      <c r="J369" s="1285"/>
      <c r="L369" s="626"/>
      <c r="M369" s="632"/>
      <c r="N369" s="674"/>
      <c r="O369" s="632"/>
      <c r="P369" s="632"/>
      <c r="Q369" s="632"/>
      <c r="R369" s="596"/>
    </row>
    <row r="370" spans="2:18" s="594" customFormat="1" ht="15" hidden="1">
      <c r="B370" s="1495" t="s">
        <v>1377</v>
      </c>
      <c r="C370" s="624"/>
      <c r="D370" s="624"/>
      <c r="E370" s="624"/>
      <c r="F370" s="624"/>
      <c r="G370" s="624"/>
      <c r="H370" s="1285"/>
      <c r="I370" s="1061"/>
      <c r="J370" s="1285"/>
      <c r="L370" s="626"/>
      <c r="M370" s="632"/>
      <c r="N370" s="674"/>
      <c r="O370" s="632"/>
      <c r="P370" s="632"/>
      <c r="Q370" s="632"/>
      <c r="R370" s="596"/>
    </row>
    <row r="371" spans="2:18" s="594" customFormat="1" ht="15" hidden="1">
      <c r="B371" s="1495" t="s">
        <v>1378</v>
      </c>
      <c r="C371" s="624"/>
      <c r="D371" s="624"/>
      <c r="E371" s="624"/>
      <c r="F371" s="624"/>
      <c r="G371" s="624"/>
      <c r="H371" s="1285"/>
      <c r="I371" s="1061"/>
      <c r="J371" s="1285"/>
      <c r="L371" s="626"/>
      <c r="M371" s="632"/>
      <c r="N371" s="674"/>
      <c r="O371" s="632"/>
      <c r="P371" s="632"/>
      <c r="Q371" s="632"/>
      <c r="R371" s="596"/>
    </row>
    <row r="372" spans="2:18" s="594" customFormat="1" ht="15" hidden="1">
      <c r="B372" s="1495" t="s">
        <v>1379</v>
      </c>
      <c r="C372" s="624"/>
      <c r="D372" s="624"/>
      <c r="E372" s="624"/>
      <c r="F372" s="624"/>
      <c r="G372" s="624"/>
      <c r="H372" s="1285"/>
      <c r="I372" s="1061"/>
      <c r="J372" s="1285"/>
      <c r="L372" s="626"/>
      <c r="M372" s="632"/>
      <c r="N372" s="674"/>
      <c r="O372" s="632"/>
      <c r="P372" s="632"/>
      <c r="Q372" s="632"/>
      <c r="R372" s="596"/>
    </row>
    <row r="373" spans="2:18" s="594" customFormat="1" ht="15" hidden="1">
      <c r="B373" s="1495" t="s">
        <v>1190</v>
      </c>
      <c r="C373" s="624"/>
      <c r="D373" s="624"/>
      <c r="E373" s="624"/>
      <c r="F373" s="624"/>
      <c r="G373" s="624"/>
      <c r="H373" s="1285"/>
      <c r="I373" s="1061"/>
      <c r="J373" s="1285"/>
      <c r="L373" s="626"/>
      <c r="M373" s="632"/>
      <c r="N373" s="674"/>
      <c r="O373" s="632"/>
      <c r="P373" s="632"/>
      <c r="Q373" s="632"/>
      <c r="R373" s="596"/>
    </row>
    <row r="374" spans="2:18" s="594" customFormat="1" ht="15" hidden="1">
      <c r="B374" s="1495" t="s">
        <v>1191</v>
      </c>
      <c r="C374" s="624"/>
      <c r="D374" s="624"/>
      <c r="E374" s="624"/>
      <c r="F374" s="624"/>
      <c r="G374" s="624"/>
      <c r="H374" s="1285"/>
      <c r="I374" s="1061"/>
      <c r="J374" s="1285"/>
      <c r="L374" s="626"/>
      <c r="M374" s="632"/>
      <c r="N374" s="674"/>
      <c r="O374" s="632"/>
      <c r="P374" s="632"/>
      <c r="Q374" s="632"/>
      <c r="R374" s="596"/>
    </row>
    <row r="375" spans="2:18" s="594" customFormat="1" ht="15" hidden="1">
      <c r="B375" s="1495" t="s">
        <v>508</v>
      </c>
      <c r="C375" s="624"/>
      <c r="D375" s="624"/>
      <c r="E375" s="624"/>
      <c r="F375" s="624"/>
      <c r="G375" s="624"/>
      <c r="H375" s="1285"/>
      <c r="I375" s="1061"/>
      <c r="J375" s="1285"/>
      <c r="L375" s="626"/>
      <c r="M375" s="632"/>
      <c r="N375" s="674"/>
      <c r="O375" s="632"/>
      <c r="P375" s="632"/>
      <c r="Q375" s="632"/>
      <c r="R375" s="596"/>
    </row>
    <row r="376" spans="2:18" s="594" customFormat="1" ht="15" hidden="1">
      <c r="B376" s="1495" t="s">
        <v>1192</v>
      </c>
      <c r="C376" s="624"/>
      <c r="D376" s="624"/>
      <c r="E376" s="624"/>
      <c r="F376" s="624"/>
      <c r="G376" s="624"/>
      <c r="H376" s="1285"/>
      <c r="I376" s="1061"/>
      <c r="J376" s="1285"/>
      <c r="L376" s="626"/>
      <c r="M376" s="632"/>
      <c r="N376" s="674"/>
      <c r="O376" s="632"/>
      <c r="P376" s="632"/>
      <c r="Q376" s="632"/>
      <c r="R376" s="596"/>
    </row>
    <row r="377" spans="2:18" s="594" customFormat="1" ht="15" hidden="1">
      <c r="B377" s="1495" t="s">
        <v>1193</v>
      </c>
      <c r="C377" s="624"/>
      <c r="D377" s="624"/>
      <c r="E377" s="624"/>
      <c r="F377" s="624"/>
      <c r="G377" s="624"/>
      <c r="H377" s="1285"/>
      <c r="I377" s="1061"/>
      <c r="J377" s="1285"/>
      <c r="L377" s="626"/>
      <c r="M377" s="632"/>
      <c r="N377" s="674"/>
      <c r="O377" s="632"/>
      <c r="P377" s="632"/>
      <c r="Q377" s="632"/>
      <c r="R377" s="596"/>
    </row>
    <row r="378" spans="2:18" s="594" customFormat="1" ht="15" hidden="1">
      <c r="B378" s="1495" t="s">
        <v>1194</v>
      </c>
      <c r="C378" s="624"/>
      <c r="D378" s="624"/>
      <c r="E378" s="624"/>
      <c r="F378" s="624"/>
      <c r="G378" s="624"/>
      <c r="H378" s="1285"/>
      <c r="I378" s="1061"/>
      <c r="J378" s="1285"/>
      <c r="L378" s="626"/>
      <c r="M378" s="632"/>
      <c r="N378" s="674"/>
      <c r="O378" s="632"/>
      <c r="P378" s="632"/>
      <c r="Q378" s="632"/>
      <c r="R378" s="596"/>
    </row>
    <row r="379" spans="2:18" s="594" customFormat="1" ht="15" hidden="1">
      <c r="B379" s="1495" t="s">
        <v>1195</v>
      </c>
      <c r="C379" s="624"/>
      <c r="D379" s="624"/>
      <c r="E379" s="624"/>
      <c r="F379" s="624"/>
      <c r="G379" s="624"/>
      <c r="H379" s="1285"/>
      <c r="I379" s="1061"/>
      <c r="J379" s="1285"/>
      <c r="L379" s="626"/>
      <c r="M379" s="632"/>
      <c r="N379" s="674"/>
      <c r="O379" s="632"/>
      <c r="P379" s="632"/>
      <c r="Q379" s="632"/>
      <c r="R379" s="596"/>
    </row>
    <row r="380" spans="2:18" s="594" customFormat="1" ht="15" hidden="1">
      <c r="B380" s="1495" t="s">
        <v>1196</v>
      </c>
      <c r="C380" s="624"/>
      <c r="D380" s="624"/>
      <c r="E380" s="624"/>
      <c r="F380" s="624"/>
      <c r="G380" s="624"/>
      <c r="H380" s="1285"/>
      <c r="I380" s="1061"/>
      <c r="J380" s="1285"/>
      <c r="L380" s="626"/>
      <c r="M380" s="632"/>
      <c r="N380" s="674"/>
      <c r="O380" s="632"/>
      <c r="P380" s="632"/>
      <c r="Q380" s="632"/>
      <c r="R380" s="596"/>
    </row>
    <row r="381" spans="2:18" s="594" customFormat="1" ht="15" hidden="1">
      <c r="B381" s="1495" t="s">
        <v>1197</v>
      </c>
      <c r="C381" s="624"/>
      <c r="D381" s="624"/>
      <c r="E381" s="624"/>
      <c r="F381" s="624"/>
      <c r="G381" s="624"/>
      <c r="H381" s="1285"/>
      <c r="I381" s="1061"/>
      <c r="J381" s="1285"/>
      <c r="L381" s="626"/>
      <c r="M381" s="632"/>
      <c r="N381" s="674"/>
      <c r="O381" s="632"/>
      <c r="P381" s="632"/>
      <c r="Q381" s="632"/>
      <c r="R381" s="596"/>
    </row>
    <row r="382" spans="2:18" s="594" customFormat="1" ht="15" hidden="1">
      <c r="B382" s="1495" t="s">
        <v>1198</v>
      </c>
      <c r="C382" s="624"/>
      <c r="D382" s="624"/>
      <c r="E382" s="624"/>
      <c r="F382" s="624"/>
      <c r="G382" s="624"/>
      <c r="H382" s="1285"/>
      <c r="I382" s="1061"/>
      <c r="J382" s="1285"/>
      <c r="L382" s="626"/>
      <c r="M382" s="632"/>
      <c r="N382" s="674"/>
      <c r="O382" s="632"/>
      <c r="P382" s="632"/>
      <c r="Q382" s="632"/>
      <c r="R382" s="596"/>
    </row>
    <row r="383" spans="2:18" s="594" customFormat="1" ht="15" hidden="1">
      <c r="B383" s="1495" t="s">
        <v>1199</v>
      </c>
      <c r="C383" s="624"/>
      <c r="D383" s="624"/>
      <c r="E383" s="624"/>
      <c r="F383" s="624"/>
      <c r="G383" s="624"/>
      <c r="H383" s="1285"/>
      <c r="I383" s="1061"/>
      <c r="J383" s="1285"/>
      <c r="L383" s="626"/>
      <c r="M383" s="632"/>
      <c r="N383" s="674"/>
      <c r="O383" s="632"/>
      <c r="P383" s="632"/>
      <c r="Q383" s="632"/>
      <c r="R383" s="596"/>
    </row>
    <row r="384" spans="2:18" s="594" customFormat="1" ht="15" hidden="1">
      <c r="B384" s="1495" t="s">
        <v>1200</v>
      </c>
      <c r="C384" s="624"/>
      <c r="D384" s="624"/>
      <c r="E384" s="624"/>
      <c r="F384" s="624"/>
      <c r="G384" s="624"/>
      <c r="H384" s="1285"/>
      <c r="I384" s="1061"/>
      <c r="J384" s="1285"/>
      <c r="L384" s="626"/>
      <c r="M384" s="632"/>
      <c r="N384" s="674"/>
      <c r="O384" s="632"/>
      <c r="P384" s="632"/>
      <c r="Q384" s="632"/>
      <c r="R384" s="596"/>
    </row>
    <row r="385" spans="2:18" s="594" customFormat="1" ht="15" hidden="1">
      <c r="B385" s="1495" t="s">
        <v>1201</v>
      </c>
      <c r="C385" s="624"/>
      <c r="D385" s="624"/>
      <c r="E385" s="624"/>
      <c r="F385" s="624"/>
      <c r="G385" s="624"/>
      <c r="H385" s="1285"/>
      <c r="I385" s="1061"/>
      <c r="J385" s="1285"/>
      <c r="L385" s="626"/>
      <c r="M385" s="632"/>
      <c r="N385" s="674"/>
      <c r="O385" s="632"/>
      <c r="P385" s="632"/>
      <c r="Q385" s="632"/>
      <c r="R385" s="596"/>
    </row>
    <row r="386" spans="2:18" s="594" customFormat="1" ht="15" hidden="1">
      <c r="B386" s="1495" t="s">
        <v>1202</v>
      </c>
      <c r="C386" s="624"/>
      <c r="D386" s="624"/>
      <c r="E386" s="624"/>
      <c r="F386" s="624"/>
      <c r="G386" s="624"/>
      <c r="H386" s="1285"/>
      <c r="I386" s="1061"/>
      <c r="J386" s="1285"/>
      <c r="L386" s="626"/>
      <c r="M386" s="632"/>
      <c r="N386" s="674"/>
      <c r="O386" s="632"/>
      <c r="P386" s="632"/>
      <c r="Q386" s="632"/>
      <c r="R386" s="596"/>
    </row>
    <row r="387" spans="2:18" s="594" customFormat="1" ht="15" hidden="1">
      <c r="B387" s="1495" t="s">
        <v>1203</v>
      </c>
      <c r="C387" s="624"/>
      <c r="D387" s="624"/>
      <c r="E387" s="624"/>
      <c r="F387" s="624"/>
      <c r="G387" s="624"/>
      <c r="H387" s="1285"/>
      <c r="I387" s="1061"/>
      <c r="J387" s="1285"/>
      <c r="L387" s="626"/>
      <c r="M387" s="632"/>
      <c r="N387" s="674"/>
      <c r="O387" s="632"/>
      <c r="P387" s="632"/>
      <c r="Q387" s="632"/>
      <c r="R387" s="596"/>
    </row>
    <row r="388" spans="2:18" s="594" customFormat="1" ht="15" hidden="1">
      <c r="B388" s="1495" t="s">
        <v>1204</v>
      </c>
      <c r="C388" s="624"/>
      <c r="D388" s="624"/>
      <c r="E388" s="624"/>
      <c r="F388" s="624"/>
      <c r="G388" s="624"/>
      <c r="H388" s="1285"/>
      <c r="I388" s="1061"/>
      <c r="J388" s="1285"/>
      <c r="L388" s="626"/>
      <c r="M388" s="632"/>
      <c r="N388" s="674"/>
      <c r="O388" s="632"/>
      <c r="P388" s="632"/>
      <c r="Q388" s="632"/>
      <c r="R388" s="596"/>
    </row>
    <row r="389" spans="2:18" s="594" customFormat="1" ht="15" hidden="1">
      <c r="B389" s="1495" t="s">
        <v>1205</v>
      </c>
      <c r="C389" s="624"/>
      <c r="D389" s="624"/>
      <c r="E389" s="624"/>
      <c r="F389" s="624"/>
      <c r="G389" s="624"/>
      <c r="H389" s="1285"/>
      <c r="I389" s="1061"/>
      <c r="J389" s="1285"/>
      <c r="L389" s="626"/>
      <c r="M389" s="632"/>
      <c r="N389" s="674"/>
      <c r="O389" s="632"/>
      <c r="P389" s="632"/>
      <c r="Q389" s="632"/>
      <c r="R389" s="596"/>
    </row>
    <row r="390" spans="2:18" s="594" customFormat="1" ht="15" hidden="1">
      <c r="B390" s="1495" t="s">
        <v>1206</v>
      </c>
      <c r="C390" s="624"/>
      <c r="D390" s="624"/>
      <c r="E390" s="624"/>
      <c r="F390" s="624"/>
      <c r="G390" s="624"/>
      <c r="H390" s="1285"/>
      <c r="I390" s="1061"/>
      <c r="J390" s="1285"/>
      <c r="L390" s="626"/>
      <c r="M390" s="632"/>
      <c r="N390" s="674"/>
      <c r="O390" s="632"/>
      <c r="P390" s="632"/>
      <c r="Q390" s="632"/>
      <c r="R390" s="596"/>
    </row>
    <row r="391" spans="2:18" s="594" customFormat="1" ht="15" hidden="1">
      <c r="B391" s="1495" t="s">
        <v>1207</v>
      </c>
      <c r="C391" s="624"/>
      <c r="D391" s="624"/>
      <c r="E391" s="624"/>
      <c r="F391" s="624"/>
      <c r="G391" s="624"/>
      <c r="H391" s="1285"/>
      <c r="I391" s="1061"/>
      <c r="J391" s="1285"/>
      <c r="L391" s="626"/>
      <c r="M391" s="632"/>
      <c r="N391" s="674"/>
      <c r="O391" s="632"/>
      <c r="P391" s="632"/>
      <c r="Q391" s="632"/>
      <c r="R391" s="596"/>
    </row>
    <row r="392" spans="2:18" s="594" customFormat="1" ht="15" hidden="1">
      <c r="B392" s="1495" t="s">
        <v>1208</v>
      </c>
      <c r="C392" s="624"/>
      <c r="D392" s="624"/>
      <c r="E392" s="624"/>
      <c r="F392" s="624"/>
      <c r="G392" s="624"/>
      <c r="H392" s="1285"/>
      <c r="I392" s="1061"/>
      <c r="J392" s="1285"/>
      <c r="L392" s="626"/>
      <c r="M392" s="632"/>
      <c r="N392" s="674"/>
      <c r="O392" s="632"/>
      <c r="P392" s="632"/>
      <c r="Q392" s="632"/>
      <c r="R392" s="596"/>
    </row>
    <row r="393" spans="2:18" s="594" customFormat="1" ht="15" hidden="1">
      <c r="B393" s="1495" t="s">
        <v>1209</v>
      </c>
      <c r="C393" s="624"/>
      <c r="D393" s="624"/>
      <c r="E393" s="624"/>
      <c r="F393" s="624"/>
      <c r="G393" s="624"/>
      <c r="H393" s="1285"/>
      <c r="I393" s="1061"/>
      <c r="J393" s="1285"/>
      <c r="L393" s="626"/>
      <c r="M393" s="632"/>
      <c r="N393" s="674"/>
      <c r="O393" s="632"/>
      <c r="P393" s="632"/>
      <c r="Q393" s="632"/>
      <c r="R393" s="596"/>
    </row>
    <row r="394" spans="2:18" s="594" customFormat="1" ht="15" hidden="1">
      <c r="B394" s="1495" t="s">
        <v>1007</v>
      </c>
      <c r="C394" s="624"/>
      <c r="D394" s="624"/>
      <c r="E394" s="624"/>
      <c r="F394" s="624"/>
      <c r="G394" s="624"/>
      <c r="H394" s="1285"/>
      <c r="I394" s="1061"/>
      <c r="J394" s="1285"/>
      <c r="L394" s="626"/>
      <c r="M394" s="632"/>
      <c r="N394" s="674"/>
      <c r="O394" s="632"/>
      <c r="P394" s="632"/>
      <c r="Q394" s="632"/>
      <c r="R394" s="596"/>
    </row>
    <row r="395" spans="2:18" s="594" customFormat="1" ht="15" hidden="1">
      <c r="B395" s="1495" t="s">
        <v>1210</v>
      </c>
      <c r="C395" s="624"/>
      <c r="D395" s="624"/>
      <c r="E395" s="624"/>
      <c r="F395" s="624"/>
      <c r="G395" s="624"/>
      <c r="H395" s="1285"/>
      <c r="I395" s="1061"/>
      <c r="J395" s="1285"/>
      <c r="L395" s="626"/>
      <c r="M395" s="632"/>
      <c r="N395" s="674"/>
      <c r="O395" s="632"/>
      <c r="P395" s="632"/>
      <c r="Q395" s="632"/>
      <c r="R395" s="596"/>
    </row>
    <row r="396" spans="2:18" s="594" customFormat="1" ht="15" hidden="1">
      <c r="B396" s="1495" t="s">
        <v>1211</v>
      </c>
      <c r="C396" s="624"/>
      <c r="D396" s="624"/>
      <c r="E396" s="624"/>
      <c r="F396" s="624"/>
      <c r="G396" s="624"/>
      <c r="H396" s="1285"/>
      <c r="I396" s="1061"/>
      <c r="J396" s="1285"/>
      <c r="L396" s="626"/>
      <c r="M396" s="632"/>
      <c r="N396" s="674"/>
      <c r="O396" s="632"/>
      <c r="P396" s="632"/>
      <c r="Q396" s="632"/>
      <c r="R396" s="596"/>
    </row>
    <row r="397" spans="2:18" s="594" customFormat="1" ht="15" hidden="1">
      <c r="B397" s="1495" t="s">
        <v>1212</v>
      </c>
      <c r="C397" s="624"/>
      <c r="D397" s="624"/>
      <c r="E397" s="624"/>
      <c r="F397" s="624"/>
      <c r="G397" s="624"/>
      <c r="H397" s="1285"/>
      <c r="I397" s="1061"/>
      <c r="J397" s="1285"/>
      <c r="L397" s="626"/>
      <c r="M397" s="632"/>
      <c r="N397" s="674"/>
      <c r="O397" s="632"/>
      <c r="P397" s="632"/>
      <c r="Q397" s="632"/>
      <c r="R397" s="596"/>
    </row>
    <row r="398" spans="2:18" s="594" customFormat="1" ht="15" hidden="1">
      <c r="B398" s="1495" t="s">
        <v>1213</v>
      </c>
      <c r="C398" s="624"/>
      <c r="D398" s="624"/>
      <c r="E398" s="624"/>
      <c r="F398" s="624"/>
      <c r="G398" s="624"/>
      <c r="H398" s="1285"/>
      <c r="I398" s="1061"/>
      <c r="J398" s="1285"/>
      <c r="L398" s="626"/>
      <c r="M398" s="632"/>
      <c r="N398" s="674"/>
      <c r="O398" s="632"/>
      <c r="P398" s="632"/>
      <c r="Q398" s="632"/>
      <c r="R398" s="596"/>
    </row>
    <row r="399" spans="2:18" s="594" customFormat="1" ht="15" hidden="1">
      <c r="B399" s="1495" t="s">
        <v>1214</v>
      </c>
      <c r="C399" s="624"/>
      <c r="D399" s="624"/>
      <c r="E399" s="624"/>
      <c r="F399" s="624"/>
      <c r="G399" s="624"/>
      <c r="H399" s="1285"/>
      <c r="I399" s="1061"/>
      <c r="J399" s="1285"/>
      <c r="L399" s="626"/>
      <c r="M399" s="632"/>
      <c r="N399" s="674"/>
      <c r="O399" s="632"/>
      <c r="P399" s="632"/>
      <c r="Q399" s="632"/>
      <c r="R399" s="596"/>
    </row>
    <row r="400" spans="2:18" s="594" customFormat="1" ht="15" hidden="1">
      <c r="B400" s="1495" t="s">
        <v>1215</v>
      </c>
      <c r="C400" s="624"/>
      <c r="D400" s="624"/>
      <c r="E400" s="624"/>
      <c r="F400" s="624"/>
      <c r="G400" s="624"/>
      <c r="H400" s="1285"/>
      <c r="I400" s="1061"/>
      <c r="J400" s="1285"/>
      <c r="L400" s="626"/>
      <c r="M400" s="632"/>
      <c r="N400" s="674"/>
      <c r="O400" s="632"/>
      <c r="P400" s="632"/>
      <c r="Q400" s="632"/>
      <c r="R400" s="596"/>
    </row>
    <row r="401" spans="1:18" s="594" customFormat="1" ht="15" hidden="1">
      <c r="B401" s="1495" t="s">
        <v>1216</v>
      </c>
      <c r="C401" s="624"/>
      <c r="D401" s="624"/>
      <c r="E401" s="624"/>
      <c r="F401" s="624"/>
      <c r="G401" s="624"/>
      <c r="H401" s="1285"/>
      <c r="I401" s="1061"/>
      <c r="J401" s="1285"/>
      <c r="L401" s="626"/>
      <c r="M401" s="632"/>
      <c r="N401" s="674"/>
      <c r="O401" s="632"/>
      <c r="P401" s="632"/>
      <c r="Q401" s="632"/>
      <c r="R401" s="596"/>
    </row>
    <row r="402" spans="1:18" s="594" customFormat="1" ht="15" hidden="1">
      <c r="B402" s="1495" t="s">
        <v>1217</v>
      </c>
      <c r="C402" s="624"/>
      <c r="D402" s="624"/>
      <c r="E402" s="624"/>
      <c r="F402" s="624"/>
      <c r="G402" s="624"/>
      <c r="H402" s="1285"/>
      <c r="I402" s="1061"/>
      <c r="J402" s="1285"/>
      <c r="L402" s="626"/>
      <c r="M402" s="632"/>
      <c r="N402" s="674"/>
      <c r="O402" s="632"/>
      <c r="P402" s="632"/>
      <c r="Q402" s="632"/>
      <c r="R402" s="596"/>
    </row>
    <row r="403" spans="1:18" s="594" customFormat="1" ht="15" hidden="1">
      <c r="B403" s="1495" t="s">
        <v>1218</v>
      </c>
      <c r="C403" s="624"/>
      <c r="D403" s="624"/>
      <c r="E403" s="624"/>
      <c r="F403" s="624"/>
      <c r="G403" s="624"/>
      <c r="H403" s="1285"/>
      <c r="I403" s="1061"/>
      <c r="J403" s="1285"/>
      <c r="L403" s="626"/>
      <c r="M403" s="632"/>
      <c r="N403" s="674"/>
      <c r="O403" s="632"/>
      <c r="P403" s="632"/>
      <c r="Q403" s="632"/>
      <c r="R403" s="596"/>
    </row>
    <row r="404" spans="1:18" s="594" customFormat="1" ht="15" hidden="1">
      <c r="B404" s="1495" t="s">
        <v>753</v>
      </c>
      <c r="C404" s="624"/>
      <c r="D404" s="624"/>
      <c r="E404" s="624"/>
      <c r="F404" s="624"/>
      <c r="G404" s="624"/>
      <c r="H404" s="1285"/>
      <c r="I404" s="1061"/>
      <c r="J404" s="1285"/>
      <c r="L404" s="626"/>
      <c r="M404" s="632"/>
      <c r="N404" s="674"/>
      <c r="O404" s="632"/>
      <c r="P404" s="632"/>
      <c r="Q404" s="632"/>
      <c r="R404" s="596"/>
    </row>
    <row r="405" spans="1:18" s="594" customFormat="1" ht="15" hidden="1">
      <c r="B405" s="1495" t="s">
        <v>754</v>
      </c>
      <c r="C405" s="624"/>
      <c r="D405" s="624"/>
      <c r="E405" s="624"/>
      <c r="F405" s="624"/>
      <c r="G405" s="624"/>
      <c r="H405" s="1285"/>
      <c r="I405" s="1061"/>
      <c r="J405" s="1285"/>
      <c r="L405" s="626"/>
      <c r="M405" s="632"/>
      <c r="N405" s="674"/>
      <c r="O405" s="632"/>
      <c r="P405" s="632"/>
      <c r="Q405" s="632"/>
      <c r="R405" s="596"/>
    </row>
    <row r="406" spans="1:18" s="594" customFormat="1" ht="15" hidden="1">
      <c r="B406" s="1495" t="s">
        <v>755</v>
      </c>
      <c r="C406" s="624"/>
      <c r="D406" s="624"/>
      <c r="E406" s="624"/>
      <c r="F406" s="624"/>
      <c r="G406" s="624"/>
      <c r="H406" s="1285"/>
      <c r="I406" s="1061"/>
      <c r="J406" s="1285"/>
      <c r="L406" s="626"/>
      <c r="M406" s="632"/>
      <c r="N406" s="674"/>
      <c r="O406" s="632"/>
      <c r="P406" s="632"/>
      <c r="Q406" s="632"/>
      <c r="R406" s="596"/>
    </row>
    <row r="407" spans="1:18" s="594" customFormat="1" ht="15">
      <c r="B407" s="623"/>
      <c r="C407" s="624"/>
      <c r="D407" s="624"/>
      <c r="E407" s="624"/>
      <c r="F407" s="624"/>
      <c r="G407" s="624"/>
      <c r="H407" s="1061"/>
      <c r="I407" s="1061"/>
      <c r="J407" s="1061"/>
      <c r="L407" s="626"/>
      <c r="M407" s="632"/>
      <c r="N407" s="674"/>
      <c r="O407" s="632"/>
      <c r="P407" s="632"/>
      <c r="Q407" s="632"/>
      <c r="R407" s="596"/>
    </row>
    <row r="408" spans="1:18" s="631" customFormat="1" ht="14.25">
      <c r="B408" s="876" t="s">
        <v>1012</v>
      </c>
      <c r="C408" s="624"/>
      <c r="D408" s="624"/>
      <c r="E408" s="624"/>
      <c r="F408" s="624"/>
      <c r="G408" s="624"/>
      <c r="H408" s="1086">
        <f>H409+H410</f>
        <v>157202296</v>
      </c>
      <c r="I408" s="1086"/>
      <c r="J408" s="1086">
        <f>J409+J410+J411</f>
        <v>171347966</v>
      </c>
      <c r="L408" s="626"/>
      <c r="M408" s="632"/>
      <c r="N408" s="674"/>
      <c r="O408" s="632"/>
      <c r="P408" s="632"/>
      <c r="Q408" s="632"/>
      <c r="R408" s="626"/>
    </row>
    <row r="409" spans="1:18" s="631" customFormat="1" ht="14.25">
      <c r="B409" s="1510" t="s">
        <v>1056</v>
      </c>
      <c r="C409" s="1514"/>
      <c r="D409" s="624"/>
      <c r="E409" s="624"/>
      <c r="F409" s="624"/>
      <c r="G409" s="624"/>
      <c r="H409" s="1285">
        <v>57914216</v>
      </c>
      <c r="I409" s="1086"/>
      <c r="J409" s="1285">
        <v>57914216</v>
      </c>
      <c r="L409" s="626"/>
      <c r="M409" s="632"/>
      <c r="N409" s="674"/>
      <c r="O409" s="632"/>
      <c r="P409" s="632"/>
      <c r="Q409" s="632"/>
      <c r="R409" s="626"/>
    </row>
    <row r="410" spans="1:18" s="631" customFormat="1" ht="14.25">
      <c r="B410" s="1510" t="s">
        <v>1057</v>
      </c>
      <c r="C410" s="1514"/>
      <c r="D410" s="624"/>
      <c r="E410" s="624"/>
      <c r="F410" s="624"/>
      <c r="G410" s="624"/>
      <c r="H410" s="1285">
        <v>99288080</v>
      </c>
      <c r="I410" s="1086"/>
      <c r="J410" s="1285">
        <v>99288080</v>
      </c>
      <c r="L410" s="626"/>
      <c r="M410" s="632"/>
      <c r="N410" s="674"/>
      <c r="O410" s="632"/>
      <c r="P410" s="632"/>
      <c r="Q410" s="632"/>
      <c r="R410" s="626"/>
    </row>
    <row r="411" spans="1:18" s="594" customFormat="1" ht="16.5" customHeight="1">
      <c r="B411" s="1510" t="s">
        <v>800</v>
      </c>
      <c r="C411" s="624"/>
      <c r="D411" s="624"/>
      <c r="E411" s="624"/>
      <c r="F411" s="624"/>
      <c r="G411" s="624"/>
      <c r="H411" s="1061">
        <v>0</v>
      </c>
      <c r="I411" s="1061"/>
      <c r="J411" s="1285">
        <v>14145670</v>
      </c>
      <c r="L411" s="626"/>
      <c r="M411" s="632"/>
      <c r="N411" s="674"/>
      <c r="O411" s="632"/>
      <c r="P411" s="632"/>
      <c r="Q411" s="632"/>
      <c r="R411" s="596"/>
    </row>
    <row r="412" spans="1:18" s="594" customFormat="1" ht="15.75" thickBot="1">
      <c r="B412" s="685" t="s">
        <v>1571</v>
      </c>
      <c r="C412" s="686"/>
      <c r="D412" s="686"/>
      <c r="E412" s="686"/>
      <c r="F412" s="686"/>
      <c r="G412" s="615"/>
      <c r="H412" s="1087">
        <f>H171+H408</f>
        <v>176205746042</v>
      </c>
      <c r="I412" s="1061"/>
      <c r="J412" s="1087">
        <f>J171+J408</f>
        <v>102113631355</v>
      </c>
      <c r="L412" s="626">
        <f>H412-BS!L78</f>
        <v>0</v>
      </c>
      <c r="M412" s="632"/>
      <c r="N412" s="674">
        <f>J412-BS!N78</f>
        <v>0</v>
      </c>
      <c r="O412" s="632"/>
      <c r="P412" s="632"/>
      <c r="Q412" s="632"/>
      <c r="R412" s="596"/>
    </row>
    <row r="413" spans="1:18" s="594" customFormat="1" ht="15.75" thickTop="1">
      <c r="B413" s="623"/>
      <c r="C413" s="624"/>
      <c r="D413" s="624"/>
      <c r="E413" s="624"/>
      <c r="F413" s="624"/>
      <c r="G413" s="624"/>
      <c r="H413" s="1061"/>
      <c r="I413" s="1061"/>
      <c r="J413" s="1061"/>
      <c r="L413" s="626"/>
      <c r="M413" s="632"/>
      <c r="N413" s="674"/>
      <c r="O413" s="632"/>
      <c r="P413" s="632"/>
      <c r="Q413" s="632"/>
      <c r="R413" s="596"/>
    </row>
    <row r="414" spans="1:18" s="618" customFormat="1" ht="15" hidden="1">
      <c r="B414" s="619"/>
      <c r="H414" s="1059"/>
      <c r="I414" s="1059"/>
      <c r="J414" s="1059"/>
      <c r="L414" s="596"/>
      <c r="M414" s="596"/>
      <c r="N414" s="596"/>
      <c r="O414" s="600"/>
      <c r="P414" s="600"/>
      <c r="Q414" s="601"/>
      <c r="R414" s="596"/>
    </row>
    <row r="415" spans="1:18" s="615" customFormat="1" ht="15">
      <c r="A415" s="615" t="s">
        <v>689</v>
      </c>
      <c r="B415" s="690" t="s">
        <v>1558</v>
      </c>
      <c r="H415" s="612" t="s">
        <v>1428</v>
      </c>
      <c r="I415" s="613"/>
      <c r="J415" s="1136" t="s">
        <v>256</v>
      </c>
      <c r="K415" s="594"/>
      <c r="L415" s="596"/>
      <c r="M415" s="597"/>
      <c r="N415" s="687"/>
      <c r="O415" s="597"/>
      <c r="P415" s="597"/>
      <c r="Q415" s="597"/>
      <c r="R415" s="596"/>
    </row>
    <row r="416" spans="1:18" s="631" customFormat="1" ht="14.25">
      <c r="B416" s="1491" t="s">
        <v>892</v>
      </c>
      <c r="C416" s="624"/>
      <c r="D416" s="624"/>
      <c r="E416" s="624"/>
      <c r="F416" s="624"/>
      <c r="G416" s="624"/>
      <c r="H416" s="1086">
        <f>SUM(H417:H435)</f>
        <v>42323494979</v>
      </c>
      <c r="I416" s="1086"/>
      <c r="J416" s="1086">
        <f>SUM(J417:J435)</f>
        <v>41933891710</v>
      </c>
      <c r="L416" s="626"/>
      <c r="M416" s="632"/>
      <c r="N416" s="632"/>
      <c r="O416" s="632"/>
      <c r="P416" s="632"/>
      <c r="Q416" s="632"/>
      <c r="R416" s="626"/>
    </row>
    <row r="417" spans="2:18" s="598" customFormat="1" ht="14.25">
      <c r="B417" s="1494" t="s">
        <v>893</v>
      </c>
      <c r="C417" s="618"/>
      <c r="D417" s="618"/>
      <c r="E417" s="618"/>
      <c r="F417" s="618"/>
      <c r="G417" s="618"/>
      <c r="H417" s="1496">
        <v>0</v>
      </c>
      <c r="I417" s="1100"/>
      <c r="J417" s="1100">
        <v>9223995865</v>
      </c>
      <c r="L417" s="600"/>
      <c r="M417" s="601"/>
      <c r="N417" s="601"/>
      <c r="O417" s="601"/>
      <c r="P417" s="601"/>
      <c r="Q417" s="601"/>
      <c r="R417" s="600"/>
    </row>
    <row r="418" spans="2:18" s="598" customFormat="1" ht="14.25">
      <c r="B418" s="1494" t="s">
        <v>1064</v>
      </c>
      <c r="C418" s="618"/>
      <c r="D418" s="618"/>
      <c r="E418" s="618"/>
      <c r="F418" s="618"/>
      <c r="G418" s="618"/>
      <c r="H418" s="1496">
        <v>14555964134</v>
      </c>
      <c r="I418" s="1100"/>
      <c r="J418" s="1100">
        <v>0</v>
      </c>
      <c r="L418" s="600"/>
      <c r="M418" s="601"/>
      <c r="N418" s="601"/>
      <c r="O418" s="601"/>
      <c r="P418" s="601"/>
      <c r="Q418" s="601"/>
      <c r="R418" s="600"/>
    </row>
    <row r="419" spans="2:18" s="598" customFormat="1" ht="14.25">
      <c r="B419" s="1494" t="s">
        <v>756</v>
      </c>
      <c r="C419" s="618"/>
      <c r="D419" s="618"/>
      <c r="E419" s="618"/>
      <c r="F419" s="618"/>
      <c r="G419" s="618"/>
      <c r="H419" s="1496">
        <v>4220957870</v>
      </c>
      <c r="I419" s="1100"/>
      <c r="J419" s="1100">
        <v>3720957870</v>
      </c>
      <c r="L419" s="600"/>
      <c r="M419" s="601"/>
      <c r="N419" s="601"/>
      <c r="O419" s="601"/>
      <c r="P419" s="601"/>
      <c r="Q419" s="601"/>
      <c r="R419" s="600"/>
    </row>
    <row r="420" spans="2:18" s="598" customFormat="1" ht="14.25">
      <c r="B420" s="1494" t="s">
        <v>902</v>
      </c>
      <c r="C420" s="618"/>
      <c r="D420" s="618"/>
      <c r="E420" s="618"/>
      <c r="F420" s="618"/>
      <c r="G420" s="618"/>
      <c r="H420" s="1496">
        <v>1009800000</v>
      </c>
      <c r="I420" s="1100"/>
      <c r="J420" s="1496">
        <v>1009800000</v>
      </c>
      <c r="L420" s="600"/>
      <c r="M420" s="601"/>
      <c r="N420" s="601"/>
      <c r="O420" s="601"/>
      <c r="P420" s="601"/>
      <c r="Q420" s="601"/>
      <c r="R420" s="600"/>
    </row>
    <row r="421" spans="2:18" s="598" customFormat="1" ht="14.25" hidden="1">
      <c r="B421" s="1494" t="s">
        <v>757</v>
      </c>
      <c r="C421" s="618"/>
      <c r="D421" s="618"/>
      <c r="E421" s="618"/>
      <c r="F421" s="618"/>
      <c r="G421" s="618"/>
      <c r="H421" s="1496"/>
      <c r="I421" s="1100"/>
      <c r="J421" s="1100"/>
      <c r="L421" s="600"/>
      <c r="M421" s="601"/>
      <c r="N421" s="601"/>
      <c r="O421" s="601"/>
      <c r="P421" s="601"/>
      <c r="Q421" s="601"/>
      <c r="R421" s="600"/>
    </row>
    <row r="422" spans="2:18" s="598" customFormat="1" ht="14.25">
      <c r="B422" s="1494" t="s">
        <v>758</v>
      </c>
      <c r="C422" s="618"/>
      <c r="D422" s="618"/>
      <c r="E422" s="618"/>
      <c r="F422" s="618"/>
      <c r="G422" s="618"/>
      <c r="H422" s="1496">
        <v>100000000</v>
      </c>
      <c r="I422" s="1100"/>
      <c r="J422" s="1496">
        <v>100000000</v>
      </c>
      <c r="L422" s="600"/>
      <c r="M422" s="601"/>
      <c r="N422" s="601"/>
      <c r="O422" s="601"/>
      <c r="P422" s="601"/>
      <c r="Q422" s="601"/>
      <c r="R422" s="600"/>
    </row>
    <row r="423" spans="2:18" s="598" customFormat="1" ht="14.25">
      <c r="B423" s="1494" t="s">
        <v>917</v>
      </c>
      <c r="C423" s="618"/>
      <c r="D423" s="618"/>
      <c r="E423" s="618"/>
      <c r="F423" s="618"/>
      <c r="G423" s="618"/>
      <c r="H423" s="1496">
        <v>495000000</v>
      </c>
      <c r="I423" s="1100"/>
      <c r="J423" s="1496">
        <v>495000000</v>
      </c>
      <c r="L423" s="600"/>
      <c r="M423" s="601"/>
      <c r="N423" s="601"/>
      <c r="O423" s="601"/>
      <c r="P423" s="601"/>
      <c r="Q423" s="601"/>
      <c r="R423" s="600"/>
    </row>
    <row r="424" spans="2:18" s="598" customFormat="1" ht="14.25" hidden="1">
      <c r="B424" s="1494" t="s">
        <v>9</v>
      </c>
      <c r="C424" s="618"/>
      <c r="D424" s="618"/>
      <c r="E424" s="618"/>
      <c r="F424" s="618"/>
      <c r="G424" s="618"/>
      <c r="H424" s="1496">
        <v>0</v>
      </c>
      <c r="I424" s="1100"/>
      <c r="J424" s="1100"/>
      <c r="L424" s="600"/>
      <c r="M424" s="601"/>
      <c r="N424" s="601"/>
      <c r="O424" s="601"/>
      <c r="P424" s="601"/>
      <c r="Q424" s="601"/>
      <c r="R424" s="600"/>
    </row>
    <row r="425" spans="2:18" s="598" customFormat="1" ht="14.25">
      <c r="B425" s="1494" t="s">
        <v>1059</v>
      </c>
      <c r="C425" s="618"/>
      <c r="D425" s="618"/>
      <c r="E425" s="618"/>
      <c r="F425" s="618"/>
      <c r="G425" s="618"/>
      <c r="H425" s="1496">
        <v>20044713000</v>
      </c>
      <c r="I425" s="1100"/>
      <c r="J425" s="1496">
        <v>20044713000</v>
      </c>
      <c r="L425" s="600"/>
      <c r="M425" s="601"/>
      <c r="N425" s="601"/>
      <c r="O425" s="601"/>
      <c r="P425" s="601"/>
      <c r="Q425" s="601"/>
      <c r="R425" s="600"/>
    </row>
    <row r="426" spans="2:18" s="598" customFormat="1" ht="14.25">
      <c r="B426" s="1494" t="s">
        <v>1061</v>
      </c>
      <c r="C426" s="618"/>
      <c r="D426" s="618"/>
      <c r="E426" s="618"/>
      <c r="F426" s="618"/>
      <c r="G426" s="618"/>
      <c r="H426" s="1496">
        <v>1014406635</v>
      </c>
      <c r="I426" s="1100"/>
      <c r="J426" s="1496">
        <v>1014406635</v>
      </c>
      <c r="L426" s="600"/>
      <c r="M426" s="601"/>
      <c r="N426" s="601"/>
      <c r="O426" s="601"/>
      <c r="P426" s="601"/>
      <c r="Q426" s="601"/>
      <c r="R426" s="600"/>
    </row>
    <row r="427" spans="2:18" s="598" customFormat="1" ht="14.25" hidden="1">
      <c r="B427" s="1494" t="s">
        <v>15</v>
      </c>
      <c r="C427" s="618"/>
      <c r="D427" s="618"/>
      <c r="E427" s="618"/>
      <c r="F427" s="618"/>
      <c r="G427" s="618"/>
      <c r="H427" s="1496"/>
      <c r="I427" s="1100"/>
      <c r="J427" s="1100"/>
      <c r="L427" s="600"/>
      <c r="M427" s="601"/>
      <c r="N427" s="601"/>
      <c r="O427" s="601"/>
      <c r="P427" s="601"/>
      <c r="Q427" s="601"/>
      <c r="R427" s="600"/>
    </row>
    <row r="428" spans="2:18" s="598" customFormat="1" ht="14.25">
      <c r="B428" s="1494" t="s">
        <v>16</v>
      </c>
      <c r="C428" s="618"/>
      <c r="D428" s="618"/>
      <c r="E428" s="618"/>
      <c r="F428" s="618"/>
      <c r="G428" s="618"/>
      <c r="H428" s="1496">
        <v>0</v>
      </c>
      <c r="I428" s="1100"/>
      <c r="J428" s="1100">
        <v>970200000</v>
      </c>
      <c r="L428" s="600"/>
      <c r="M428" s="601"/>
      <c r="N428" s="601"/>
      <c r="O428" s="601"/>
      <c r="P428" s="601"/>
      <c r="Q428" s="601"/>
      <c r="R428" s="600"/>
    </row>
    <row r="429" spans="2:18" s="598" customFormat="1" ht="14.25">
      <c r="B429" s="1494" t="s">
        <v>759</v>
      </c>
      <c r="C429" s="618"/>
      <c r="D429" s="618"/>
      <c r="E429" s="618"/>
      <c r="F429" s="618"/>
      <c r="G429" s="618"/>
      <c r="H429" s="1496">
        <v>748555740</v>
      </c>
      <c r="I429" s="1100"/>
      <c r="J429" s="1496">
        <v>748555740</v>
      </c>
      <c r="L429" s="600"/>
      <c r="M429" s="601"/>
      <c r="N429" s="601"/>
      <c r="O429" s="601"/>
      <c r="P429" s="601"/>
      <c r="Q429" s="601"/>
      <c r="R429" s="600"/>
    </row>
    <row r="430" spans="2:18" s="598" customFormat="1" ht="14.25" hidden="1">
      <c r="B430" s="1494" t="s">
        <v>551</v>
      </c>
      <c r="C430" s="618"/>
      <c r="D430" s="618"/>
      <c r="E430" s="618"/>
      <c r="F430" s="618"/>
      <c r="G430" s="618"/>
      <c r="H430" s="1496"/>
      <c r="I430" s="1100"/>
      <c r="J430" s="1100"/>
      <c r="L430" s="600"/>
      <c r="M430" s="601"/>
      <c r="N430" s="601"/>
      <c r="O430" s="601"/>
      <c r="P430" s="601"/>
      <c r="Q430" s="601"/>
      <c r="R430" s="600"/>
    </row>
    <row r="431" spans="2:18" s="598" customFormat="1" ht="14.25">
      <c r="B431" s="1494" t="s">
        <v>1062</v>
      </c>
      <c r="C431" s="618"/>
      <c r="D431" s="618"/>
      <c r="E431" s="618"/>
      <c r="F431" s="618"/>
      <c r="G431" s="618"/>
      <c r="H431" s="1496">
        <v>109097600</v>
      </c>
      <c r="I431" s="1100"/>
      <c r="J431" s="1496">
        <v>109097600</v>
      </c>
      <c r="L431" s="600"/>
      <c r="M431" s="601"/>
      <c r="N431" s="601"/>
      <c r="O431" s="601"/>
      <c r="P431" s="601"/>
      <c r="Q431" s="601"/>
      <c r="R431" s="600"/>
    </row>
    <row r="432" spans="2:18" s="598" customFormat="1" ht="14.25">
      <c r="B432" s="1494" t="s">
        <v>798</v>
      </c>
      <c r="C432" s="618"/>
      <c r="D432" s="618"/>
      <c r="E432" s="618"/>
      <c r="F432" s="618"/>
      <c r="G432" s="618"/>
      <c r="H432" s="1496">
        <v>0</v>
      </c>
      <c r="I432" s="1100"/>
      <c r="J432" s="1100">
        <v>2197165000</v>
      </c>
      <c r="L432" s="600"/>
      <c r="M432" s="601"/>
      <c r="N432" s="601"/>
      <c r="O432" s="601"/>
      <c r="P432" s="601"/>
      <c r="Q432" s="601"/>
      <c r="R432" s="600"/>
    </row>
    <row r="433" spans="2:18" s="598" customFormat="1" ht="14.25" hidden="1">
      <c r="B433" s="1494" t="s">
        <v>1588</v>
      </c>
      <c r="C433" s="618"/>
      <c r="D433" s="618"/>
      <c r="E433" s="618"/>
      <c r="F433" s="618"/>
      <c r="G433" s="618"/>
      <c r="H433" s="1496"/>
      <c r="I433" s="1100"/>
      <c r="J433" s="1100"/>
      <c r="L433" s="600"/>
      <c r="M433" s="601"/>
      <c r="N433" s="601"/>
      <c r="O433" s="601"/>
      <c r="P433" s="601"/>
      <c r="Q433" s="601"/>
      <c r="R433" s="600"/>
    </row>
    <row r="434" spans="2:18" s="598" customFormat="1" ht="14.25">
      <c r="B434" s="1494" t="s">
        <v>799</v>
      </c>
      <c r="C434" s="618"/>
      <c r="D434" s="618"/>
      <c r="E434" s="618"/>
      <c r="F434" s="618"/>
      <c r="G434" s="618"/>
      <c r="H434" s="1285">
        <v>0</v>
      </c>
      <c r="I434" s="1058"/>
      <c r="J434" s="1058">
        <v>2300000000</v>
      </c>
      <c r="L434" s="600"/>
      <c r="M434" s="601"/>
      <c r="N434" s="601"/>
      <c r="O434" s="601"/>
      <c r="P434" s="601"/>
      <c r="Q434" s="601"/>
      <c r="R434" s="600"/>
    </row>
    <row r="435" spans="2:18" s="594" customFormat="1" ht="15">
      <c r="B435" s="1494" t="s">
        <v>1060</v>
      </c>
      <c r="C435" s="624"/>
      <c r="D435" s="624"/>
      <c r="E435" s="624"/>
      <c r="F435" s="624"/>
      <c r="G435" s="624"/>
      <c r="H435" s="1285">
        <v>25000000</v>
      </c>
      <c r="I435" s="1061"/>
      <c r="J435" s="1061">
        <v>0</v>
      </c>
      <c r="L435" s="626"/>
      <c r="M435" s="632"/>
      <c r="N435" s="632"/>
      <c r="O435" s="632"/>
      <c r="P435" s="632"/>
      <c r="Q435" s="632"/>
      <c r="R435" s="596"/>
    </row>
    <row r="436" spans="2:18" s="598" customFormat="1" ht="7.5" customHeight="1">
      <c r="B436" s="1012"/>
      <c r="C436" s="1101"/>
      <c r="D436" s="1101"/>
      <c r="E436" s="1101"/>
      <c r="F436" s="1101"/>
      <c r="G436" s="1101"/>
      <c r="H436" s="1100"/>
      <c r="I436" s="1100"/>
      <c r="J436" s="1100"/>
      <c r="L436" s="600"/>
      <c r="M436" s="601"/>
      <c r="N436" s="601"/>
      <c r="O436" s="601"/>
      <c r="P436" s="601"/>
      <c r="Q436" s="601"/>
      <c r="R436" s="600"/>
    </row>
    <row r="437" spans="2:18" s="598" customFormat="1" ht="14.25">
      <c r="B437" s="876" t="s">
        <v>1186</v>
      </c>
      <c r="C437" s="1101"/>
      <c r="D437" s="1101"/>
      <c r="E437" s="1101"/>
      <c r="F437" s="1101"/>
      <c r="G437" s="1101"/>
      <c r="H437" s="1497">
        <f>SUM(H438:H445)</f>
        <v>24074441919</v>
      </c>
      <c r="I437" s="1100"/>
      <c r="J437" s="1497">
        <f>SUM(J438:J445)</f>
        <v>16277001762</v>
      </c>
      <c r="L437" s="600"/>
      <c r="M437" s="601"/>
      <c r="N437" s="601"/>
      <c r="O437" s="601"/>
      <c r="P437" s="601"/>
      <c r="Q437" s="601"/>
      <c r="R437" s="600"/>
    </row>
    <row r="438" spans="2:18" s="598" customFormat="1" ht="14.25">
      <c r="B438" s="1495" t="s">
        <v>760</v>
      </c>
      <c r="C438" s="1101"/>
      <c r="D438" s="1101"/>
      <c r="E438" s="1101"/>
      <c r="F438" s="1101"/>
      <c r="G438" s="1101"/>
      <c r="H438" s="1100">
        <v>0</v>
      </c>
      <c r="I438" s="1100"/>
      <c r="J438" s="1100">
        <v>0</v>
      </c>
      <c r="L438" s="600"/>
      <c r="M438" s="601"/>
      <c r="N438" s="601"/>
      <c r="O438" s="601"/>
      <c r="P438" s="601"/>
      <c r="Q438" s="601"/>
      <c r="R438" s="600"/>
    </row>
    <row r="439" spans="2:18" s="598" customFormat="1" ht="14.25">
      <c r="B439" s="1495" t="s">
        <v>761</v>
      </c>
      <c r="C439" s="1101"/>
      <c r="D439" s="1101"/>
      <c r="E439" s="1101"/>
      <c r="F439" s="1101"/>
      <c r="G439" s="1101"/>
      <c r="H439" s="1100">
        <v>1913363838</v>
      </c>
      <c r="I439" s="1100"/>
      <c r="J439" s="1100">
        <v>2808363838</v>
      </c>
      <c r="L439" s="600"/>
      <c r="M439" s="601"/>
      <c r="N439" s="601"/>
      <c r="O439" s="601"/>
      <c r="P439" s="601"/>
      <c r="Q439" s="601"/>
      <c r="R439" s="600"/>
    </row>
    <row r="440" spans="2:18" s="598" customFormat="1" ht="14.25">
      <c r="B440" s="1495" t="s">
        <v>1058</v>
      </c>
      <c r="C440" s="1101"/>
      <c r="D440" s="1101"/>
      <c r="E440" s="1101"/>
      <c r="F440" s="1101"/>
      <c r="G440" s="1101"/>
      <c r="H440" s="1100">
        <v>7949417168</v>
      </c>
      <c r="I440" s="1100"/>
      <c r="J440" s="1100">
        <v>0</v>
      </c>
      <c r="L440" s="600"/>
      <c r="M440" s="601"/>
      <c r="N440" s="601"/>
      <c r="O440" s="601"/>
      <c r="P440" s="601"/>
      <c r="Q440" s="601"/>
      <c r="R440" s="600"/>
    </row>
    <row r="441" spans="2:18" s="598" customFormat="1" ht="14.25">
      <c r="B441" s="1495" t="s">
        <v>797</v>
      </c>
      <c r="C441" s="1101"/>
      <c r="D441" s="1101"/>
      <c r="E441" s="1101"/>
      <c r="F441" s="1101"/>
      <c r="G441" s="1101"/>
      <c r="H441" s="1100">
        <v>0</v>
      </c>
      <c r="I441" s="1100"/>
      <c r="J441" s="1100">
        <v>256977011</v>
      </c>
      <c r="L441" s="600"/>
      <c r="M441" s="601"/>
      <c r="N441" s="601"/>
      <c r="O441" s="601"/>
      <c r="P441" s="601"/>
      <c r="Q441" s="601"/>
      <c r="R441" s="600"/>
    </row>
    <row r="442" spans="2:18" s="598" customFormat="1" ht="14.25">
      <c r="B442" s="1495" t="s">
        <v>1008</v>
      </c>
      <c r="C442" s="1101"/>
      <c r="D442" s="1101"/>
      <c r="E442" s="1101"/>
      <c r="F442" s="1101"/>
      <c r="G442" s="1101"/>
      <c r="H442" s="1100">
        <v>116045913</v>
      </c>
      <c r="I442" s="1100"/>
      <c r="J442" s="1100">
        <v>116045913</v>
      </c>
      <c r="L442" s="600"/>
      <c r="M442" s="601"/>
      <c r="N442" s="601"/>
      <c r="O442" s="601"/>
      <c r="P442" s="601"/>
      <c r="Q442" s="601"/>
      <c r="R442" s="600"/>
    </row>
    <row r="443" spans="2:18" s="598" customFormat="1" ht="14.25">
      <c r="B443" s="1495" t="s">
        <v>762</v>
      </c>
      <c r="C443" s="1101"/>
      <c r="D443" s="1101"/>
      <c r="E443" s="1101"/>
      <c r="F443" s="1101"/>
      <c r="G443" s="1101"/>
      <c r="H443" s="1100">
        <v>0</v>
      </c>
      <c r="I443" s="1100"/>
      <c r="J443" s="1100">
        <v>0</v>
      </c>
      <c r="L443" s="600"/>
      <c r="M443" s="601"/>
      <c r="N443" s="601"/>
      <c r="O443" s="601"/>
      <c r="P443" s="601"/>
      <c r="Q443" s="601"/>
      <c r="R443" s="600"/>
    </row>
    <row r="444" spans="2:18" s="598" customFormat="1" ht="14.25">
      <c r="B444" s="1495" t="s">
        <v>763</v>
      </c>
      <c r="C444" s="1101"/>
      <c r="D444" s="1101"/>
      <c r="E444" s="1101"/>
      <c r="F444" s="1101"/>
      <c r="G444" s="1101"/>
      <c r="H444" s="1100">
        <v>14095615000</v>
      </c>
      <c r="I444" s="1100"/>
      <c r="J444" s="1100">
        <v>13095615000</v>
      </c>
      <c r="L444" s="600"/>
      <c r="M444" s="601"/>
      <c r="N444" s="601"/>
      <c r="O444" s="601"/>
      <c r="P444" s="601"/>
      <c r="Q444" s="601"/>
      <c r="R444" s="600"/>
    </row>
    <row r="445" spans="2:18" s="598" customFormat="1" ht="14.25">
      <c r="B445" s="1495" t="s">
        <v>901</v>
      </c>
      <c r="C445" s="1101"/>
      <c r="D445" s="1101"/>
      <c r="E445" s="1101"/>
      <c r="F445" s="1101"/>
      <c r="G445" s="1101"/>
      <c r="H445" s="1100">
        <v>0</v>
      </c>
      <c r="I445" s="1100"/>
      <c r="J445" s="1100">
        <v>0</v>
      </c>
      <c r="L445" s="600"/>
      <c r="M445" s="601"/>
      <c r="N445" s="601"/>
      <c r="O445" s="601"/>
      <c r="P445" s="601"/>
      <c r="Q445" s="601"/>
      <c r="R445" s="600"/>
    </row>
    <row r="446" spans="2:18" s="598" customFormat="1" ht="7.5" customHeight="1">
      <c r="B446" s="1495"/>
      <c r="C446" s="1101"/>
      <c r="D446" s="1101"/>
      <c r="E446" s="1101"/>
      <c r="F446" s="1101"/>
      <c r="G446" s="1101"/>
      <c r="H446" s="1100"/>
      <c r="I446" s="1100"/>
      <c r="J446" s="1100"/>
      <c r="L446" s="600"/>
      <c r="M446" s="601"/>
      <c r="N446" s="601"/>
      <c r="O446" s="601"/>
      <c r="P446" s="601"/>
      <c r="Q446" s="601"/>
      <c r="R446" s="600"/>
    </row>
    <row r="447" spans="2:18" s="598" customFormat="1" ht="14.25">
      <c r="B447" s="876" t="s">
        <v>1012</v>
      </c>
      <c r="C447" s="1101"/>
      <c r="D447" s="1101"/>
      <c r="E447" s="1101"/>
      <c r="F447" s="1101"/>
      <c r="G447" s="1101"/>
      <c r="H447" s="1497">
        <f>H448</f>
        <v>1029953167</v>
      </c>
      <c r="I447" s="1100"/>
      <c r="J447" s="1497">
        <f>J448</f>
        <v>1029953167</v>
      </c>
      <c r="L447" s="600"/>
      <c r="M447" s="601"/>
      <c r="N447" s="601"/>
      <c r="O447" s="601"/>
      <c r="P447" s="601"/>
      <c r="Q447" s="601"/>
      <c r="R447" s="600"/>
    </row>
    <row r="448" spans="2:18" s="598" customFormat="1" ht="14.25">
      <c r="B448" s="1510" t="s">
        <v>1063</v>
      </c>
      <c r="C448" s="1515"/>
      <c r="D448" s="1515"/>
      <c r="E448" s="1515"/>
      <c r="F448" s="1515"/>
      <c r="G448" s="1515"/>
      <c r="H448" s="1496">
        <v>1029953167</v>
      </c>
      <c r="I448" s="1496"/>
      <c r="J448" s="1496">
        <v>1029953167</v>
      </c>
      <c r="L448" s="600"/>
      <c r="M448" s="601"/>
      <c r="N448" s="601"/>
      <c r="O448" s="601"/>
      <c r="P448" s="601"/>
      <c r="Q448" s="601"/>
      <c r="R448" s="600"/>
    </row>
    <row r="449" spans="1:18" s="598" customFormat="1" ht="14.25">
      <c r="B449" s="1250"/>
      <c r="C449" s="1515"/>
      <c r="D449" s="1515"/>
      <c r="E449" s="1515"/>
      <c r="F449" s="1515"/>
      <c r="G449" s="1515"/>
      <c r="H449" s="1496"/>
      <c r="I449" s="1496"/>
      <c r="J449" s="1496"/>
      <c r="L449" s="600"/>
      <c r="M449" s="601"/>
      <c r="N449" s="601"/>
      <c r="O449" s="601"/>
      <c r="P449" s="601"/>
      <c r="Q449" s="601"/>
      <c r="R449" s="600"/>
    </row>
    <row r="450" spans="1:18" s="598" customFormat="1" ht="15.75" thickBot="1">
      <c r="B450" s="685" t="s">
        <v>1571</v>
      </c>
      <c r="C450" s="686"/>
      <c r="D450" s="686"/>
      <c r="E450" s="686"/>
      <c r="F450" s="686"/>
      <c r="G450" s="615"/>
      <c r="H450" s="1087">
        <f>H416+H437+H447</f>
        <v>67427890065</v>
      </c>
      <c r="I450" s="1061"/>
      <c r="J450" s="1087">
        <f>J416+J437+J447</f>
        <v>59240846639</v>
      </c>
      <c r="L450" s="600">
        <f>H450-BS!L79</f>
        <v>0</v>
      </c>
      <c r="M450" s="601"/>
      <c r="N450" s="1347">
        <f>J450-BS!N79</f>
        <v>0</v>
      </c>
      <c r="O450" s="601"/>
      <c r="P450" s="601"/>
      <c r="Q450" s="601"/>
      <c r="R450" s="600"/>
    </row>
    <row r="451" spans="1:18" s="598" customFormat="1" ht="15.75" thickTop="1">
      <c r="B451" s="1012"/>
      <c r="C451" s="1101"/>
      <c r="D451" s="1101"/>
      <c r="E451" s="1101"/>
      <c r="F451" s="1101"/>
      <c r="G451" s="1101"/>
      <c r="H451" s="1100"/>
      <c r="I451" s="1100"/>
      <c r="J451" s="1100"/>
      <c r="L451" s="600"/>
      <c r="M451" s="601"/>
      <c r="N451" s="601"/>
      <c r="O451" s="601"/>
      <c r="P451" s="601"/>
      <c r="Q451" s="601"/>
      <c r="R451" s="600"/>
    </row>
    <row r="452" spans="1:18" s="598" customFormat="1" ht="15">
      <c r="A452" s="610" t="s">
        <v>691</v>
      </c>
      <c r="B452" s="604" t="s">
        <v>934</v>
      </c>
      <c r="H452" s="612" t="s">
        <v>1428</v>
      </c>
      <c r="I452" s="613"/>
      <c r="J452" s="1136" t="s">
        <v>256</v>
      </c>
      <c r="L452" s="600"/>
      <c r="M452" s="601"/>
      <c r="N452" s="601"/>
      <c r="O452" s="601"/>
      <c r="P452" s="601"/>
      <c r="Q452" s="601"/>
      <c r="R452" s="600"/>
    </row>
    <row r="453" spans="1:18" s="598" customFormat="1" ht="17.25" customHeight="1">
      <c r="B453" s="1250" t="s">
        <v>167</v>
      </c>
      <c r="C453" s="618"/>
      <c r="D453" s="618"/>
      <c r="E453" s="618"/>
      <c r="F453" s="618"/>
      <c r="G453" s="618"/>
      <c r="H453" s="156">
        <v>2653590105</v>
      </c>
      <c r="I453" s="1058"/>
      <c r="J453" s="1333">
        <v>2031267496</v>
      </c>
      <c r="L453" s="600"/>
      <c r="M453" s="601"/>
      <c r="N453" s="601"/>
      <c r="O453" s="601"/>
      <c r="P453" s="601"/>
      <c r="Q453" s="601"/>
      <c r="R453" s="600"/>
    </row>
    <row r="454" spans="1:18" s="598" customFormat="1" ht="17.25" customHeight="1">
      <c r="B454" s="1250" t="s">
        <v>168</v>
      </c>
      <c r="C454" s="618"/>
      <c r="D454" s="618"/>
      <c r="E454" s="618"/>
      <c r="F454" s="618"/>
      <c r="G454" s="618"/>
      <c r="H454" s="156">
        <f>4091079439+180907625</f>
        <v>4271987064</v>
      </c>
      <c r="I454" s="1058"/>
      <c r="J454" s="1333">
        <v>3150749562</v>
      </c>
      <c r="L454" s="600"/>
      <c r="M454" s="601"/>
      <c r="N454" s="601"/>
      <c r="O454" s="601"/>
      <c r="P454" s="601"/>
      <c r="Q454" s="601"/>
      <c r="R454" s="600"/>
    </row>
    <row r="455" spans="1:18" s="598" customFormat="1" ht="17.25" customHeight="1">
      <c r="B455" s="1250" t="s">
        <v>169</v>
      </c>
      <c r="C455" s="618"/>
      <c r="D455" s="618"/>
      <c r="E455" s="618"/>
      <c r="F455" s="618"/>
      <c r="G455" s="618"/>
      <c r="H455" s="156">
        <v>1025847089</v>
      </c>
      <c r="I455" s="1058"/>
      <c r="J455" s="1333">
        <v>492107607</v>
      </c>
      <c r="L455" s="600"/>
      <c r="M455" s="601"/>
      <c r="N455" s="601"/>
      <c r="O455" s="601"/>
      <c r="P455" s="601"/>
      <c r="Q455" s="601"/>
      <c r="R455" s="600"/>
    </row>
    <row r="456" spans="1:18" s="598" customFormat="1" ht="17.25" customHeight="1">
      <c r="B456" s="1250" t="s">
        <v>490</v>
      </c>
      <c r="C456" s="618"/>
      <c r="D456" s="618"/>
      <c r="E456" s="618"/>
      <c r="F456" s="618"/>
      <c r="G456" s="618"/>
      <c r="H456" s="156">
        <v>0</v>
      </c>
      <c r="I456" s="1058"/>
      <c r="J456" s="1333">
        <v>17357327</v>
      </c>
      <c r="L456" s="600"/>
      <c r="M456" s="601"/>
      <c r="N456" s="601"/>
      <c r="O456" s="601"/>
      <c r="P456" s="601"/>
      <c r="Q456" s="601"/>
      <c r="R456" s="600"/>
    </row>
    <row r="457" spans="1:18" s="598" customFormat="1" ht="17.25" hidden="1" customHeight="1">
      <c r="B457" s="1250" t="s">
        <v>170</v>
      </c>
      <c r="C457" s="618"/>
      <c r="D457" s="618"/>
      <c r="E457" s="618"/>
      <c r="F457" s="618"/>
      <c r="G457" s="618"/>
      <c r="H457" s="156">
        <v>0</v>
      </c>
      <c r="I457" s="1058"/>
      <c r="J457" s="1333">
        <v>0</v>
      </c>
      <c r="L457" s="600"/>
      <c r="M457" s="601"/>
      <c r="N457" s="601"/>
      <c r="O457" s="601"/>
      <c r="P457" s="601"/>
      <c r="Q457" s="601"/>
      <c r="R457" s="600"/>
    </row>
    <row r="458" spans="1:18" s="598" customFormat="1" ht="17.25" hidden="1" customHeight="1">
      <c r="B458" s="1012" t="s">
        <v>304</v>
      </c>
      <c r="C458" s="618"/>
      <c r="D458" s="618"/>
      <c r="E458" s="618"/>
      <c r="F458" s="618"/>
      <c r="G458" s="618"/>
      <c r="H458" s="156"/>
      <c r="I458" s="1058"/>
      <c r="J458" s="1333"/>
      <c r="L458" s="600"/>
      <c r="M458" s="601"/>
      <c r="N458" s="601"/>
      <c r="O458" s="601"/>
      <c r="P458" s="601"/>
      <c r="Q458" s="601"/>
      <c r="R458" s="600"/>
    </row>
    <row r="459" spans="1:18" s="598" customFormat="1" ht="6.75" customHeight="1">
      <c r="A459" s="618"/>
      <c r="B459" s="619"/>
      <c r="C459" s="618"/>
      <c r="D459" s="618"/>
      <c r="E459" s="618"/>
      <c r="F459" s="618"/>
      <c r="G459" s="618"/>
      <c r="H459" s="1059"/>
      <c r="I459" s="1059"/>
      <c r="J459" s="1059"/>
      <c r="L459" s="600"/>
      <c r="M459" s="601"/>
      <c r="N459" s="601"/>
      <c r="O459" s="601"/>
      <c r="P459" s="601"/>
      <c r="Q459" s="601"/>
      <c r="R459" s="600"/>
    </row>
    <row r="460" spans="1:18" s="598" customFormat="1" ht="17.25" customHeight="1" thickBot="1">
      <c r="A460" s="615"/>
      <c r="B460" s="685" t="s">
        <v>1571</v>
      </c>
      <c r="C460" s="686"/>
      <c r="D460" s="686"/>
      <c r="E460" s="686"/>
      <c r="F460" s="686"/>
      <c r="G460" s="615"/>
      <c r="H460" s="1087">
        <f>SUM(H453:H459)</f>
        <v>7951424258</v>
      </c>
      <c r="I460" s="1061"/>
      <c r="J460" s="1087">
        <f>SUM(J453:J459)</f>
        <v>5691481992</v>
      </c>
      <c r="L460" s="600">
        <f>H460-BS!L80</f>
        <v>180907625</v>
      </c>
      <c r="M460" s="601"/>
      <c r="N460" s="1347">
        <f>J460-BS!N80</f>
        <v>0</v>
      </c>
      <c r="O460" s="601"/>
      <c r="P460" s="601"/>
      <c r="Q460" s="601"/>
      <c r="R460" s="600"/>
    </row>
    <row r="461" spans="1:18" s="598" customFormat="1" ht="8.25" customHeight="1" thickTop="1">
      <c r="B461" s="1012"/>
      <c r="C461" s="1101"/>
      <c r="D461" s="1101"/>
      <c r="E461" s="1101"/>
      <c r="F461" s="1101"/>
      <c r="G461" s="1101"/>
      <c r="H461" s="1100"/>
      <c r="I461" s="1100"/>
      <c r="J461" s="1100"/>
      <c r="L461" s="600"/>
      <c r="M461" s="601"/>
      <c r="N461" s="601"/>
      <c r="O461" s="601"/>
      <c r="P461" s="601"/>
      <c r="Q461" s="601"/>
      <c r="R461" s="600"/>
    </row>
    <row r="462" spans="1:18" s="598" customFormat="1" ht="17.25" customHeight="1">
      <c r="A462" s="610" t="s">
        <v>692</v>
      </c>
      <c r="B462" s="604" t="s">
        <v>1561</v>
      </c>
      <c r="C462" s="594"/>
      <c r="D462" s="594"/>
      <c r="E462" s="594"/>
      <c r="F462" s="594"/>
      <c r="G462" s="594"/>
      <c r="H462" s="612" t="s">
        <v>1428</v>
      </c>
      <c r="I462" s="613"/>
      <c r="J462" s="1136" t="s">
        <v>256</v>
      </c>
      <c r="L462" s="600"/>
      <c r="M462" s="601"/>
      <c r="N462" s="601"/>
      <c r="O462" s="601"/>
      <c r="P462" s="601"/>
      <c r="Q462" s="601"/>
      <c r="R462" s="600"/>
    </row>
    <row r="463" spans="1:18" s="598" customFormat="1" ht="17.25" customHeight="1">
      <c r="A463" s="610"/>
      <c r="B463" s="604"/>
      <c r="C463" s="594"/>
      <c r="D463" s="594"/>
      <c r="E463" s="594"/>
      <c r="F463" s="594"/>
      <c r="G463" s="594"/>
      <c r="H463" s="1085"/>
      <c r="I463" s="1097"/>
      <c r="J463" s="1085"/>
      <c r="L463" s="600"/>
      <c r="M463" s="601"/>
      <c r="N463" s="601"/>
      <c r="O463" s="601"/>
      <c r="P463" s="601"/>
      <c r="Q463" s="601"/>
      <c r="R463" s="600"/>
    </row>
    <row r="464" spans="1:18" s="598" customFormat="1" ht="17.25" customHeight="1">
      <c r="A464" s="631"/>
      <c r="B464" s="1715" t="s">
        <v>294</v>
      </c>
      <c r="C464" s="1715"/>
      <c r="D464" s="631"/>
      <c r="E464" s="631"/>
      <c r="F464" s="631"/>
      <c r="G464" s="631"/>
      <c r="H464" s="1285">
        <f>SUM(H465:H471)</f>
        <v>46742969025</v>
      </c>
      <c r="I464" s="1086"/>
      <c r="J464" s="1285">
        <f>SUM(J465:J471)</f>
        <v>45000123884</v>
      </c>
      <c r="L464" s="600"/>
      <c r="M464" s="601"/>
      <c r="N464" s="601"/>
      <c r="O464" s="601"/>
      <c r="P464" s="601"/>
      <c r="Q464" s="601"/>
      <c r="R464" s="600"/>
    </row>
    <row r="465" spans="1:18" s="684" customFormat="1" ht="17.25" customHeight="1">
      <c r="A465" s="631"/>
      <c r="B465" s="1672" t="s">
        <v>287</v>
      </c>
      <c r="C465" s="1672"/>
      <c r="D465" s="1672"/>
      <c r="E465" s="631"/>
      <c r="F465" s="631"/>
      <c r="G465" s="631"/>
      <c r="H465" s="895">
        <v>28823325583</v>
      </c>
      <c r="I465" s="1086"/>
      <c r="J465" s="1098">
        <v>28823325583</v>
      </c>
      <c r="L465" s="642">
        <v>126389429</v>
      </c>
      <c r="M465" s="645"/>
      <c r="N465" s="645"/>
      <c r="O465" s="645"/>
      <c r="P465" s="645"/>
      <c r="Q465" s="645"/>
      <c r="R465" s="642"/>
    </row>
    <row r="466" spans="1:18" s="684" customFormat="1" ht="17.25" customHeight="1">
      <c r="A466" s="631"/>
      <c r="B466" s="1717" t="s">
        <v>491</v>
      </c>
      <c r="C466" s="1718"/>
      <c r="D466" s="1718"/>
      <c r="E466" s="631"/>
      <c r="F466" s="631"/>
      <c r="G466" s="631"/>
      <c r="H466" s="895">
        <v>1275762070</v>
      </c>
      <c r="I466" s="1086"/>
      <c r="J466" s="1098">
        <v>4695897132</v>
      </c>
      <c r="L466" s="642"/>
      <c r="M466" s="645"/>
      <c r="N466" s="645"/>
      <c r="O466" s="645"/>
      <c r="P466" s="645"/>
      <c r="Q466" s="645"/>
      <c r="R466" s="642"/>
    </row>
    <row r="467" spans="1:18" s="684" customFormat="1" ht="17.25" customHeight="1">
      <c r="A467" s="631"/>
      <c r="B467" s="1672" t="s">
        <v>109</v>
      </c>
      <c r="C467" s="1672"/>
      <c r="D467" s="1672"/>
      <c r="E467" s="1672"/>
      <c r="F467" s="1672"/>
      <c r="G467" s="631"/>
      <c r="H467" s="895">
        <v>0</v>
      </c>
      <c r="I467" s="1086"/>
      <c r="J467" s="1098">
        <v>75466776</v>
      </c>
      <c r="L467" s="642"/>
      <c r="M467" s="645"/>
      <c r="N467" s="645"/>
      <c r="O467" s="645"/>
      <c r="P467" s="645"/>
      <c r="Q467" s="645"/>
      <c r="R467" s="642"/>
    </row>
    <row r="468" spans="1:18" s="684" customFormat="1" ht="17.25" customHeight="1">
      <c r="A468" s="631"/>
      <c r="B468" s="1672" t="s">
        <v>110</v>
      </c>
      <c r="C468" s="1672"/>
      <c r="D468" s="1672"/>
      <c r="E468" s="1672"/>
      <c r="F468" s="1672"/>
      <c r="G468" s="631"/>
      <c r="H468" s="895">
        <v>93089304</v>
      </c>
      <c r="I468" s="1086"/>
      <c r="J468" s="1098">
        <v>1158062822</v>
      </c>
      <c r="L468" s="642"/>
      <c r="M468" s="645"/>
      <c r="N468" s="645"/>
      <c r="O468" s="645"/>
      <c r="P468" s="645"/>
      <c r="Q468" s="645"/>
      <c r="R468" s="642"/>
    </row>
    <row r="469" spans="1:18" s="684" customFormat="1" ht="17.25" customHeight="1">
      <c r="A469" s="631"/>
      <c r="B469" s="1672" t="s">
        <v>288</v>
      </c>
      <c r="C469" s="1672"/>
      <c r="D469" s="1672"/>
      <c r="E469" s="631"/>
      <c r="F469" s="631"/>
      <c r="G469" s="631"/>
      <c r="H469" s="895">
        <v>12116379422</v>
      </c>
      <c r="I469" s="1086"/>
      <c r="J469" s="1098">
        <v>7138574525</v>
      </c>
      <c r="L469" s="642">
        <v>126226973</v>
      </c>
      <c r="M469" s="645"/>
      <c r="N469" s="645"/>
      <c r="O469" s="645"/>
      <c r="P469" s="645"/>
      <c r="Q469" s="645"/>
      <c r="R469" s="642"/>
    </row>
    <row r="470" spans="1:18" s="684" customFormat="1" ht="17.25" customHeight="1">
      <c r="A470" s="631"/>
      <c r="B470" s="1672" t="s">
        <v>746</v>
      </c>
      <c r="C470" s="1672"/>
      <c r="D470" s="1672"/>
      <c r="E470" s="631"/>
      <c r="F470" s="631"/>
      <c r="G470" s="631"/>
      <c r="H470" s="895">
        <v>1107480654</v>
      </c>
      <c r="I470" s="1086"/>
      <c r="J470" s="1098">
        <v>2843120760</v>
      </c>
      <c r="L470" s="642">
        <v>81631058</v>
      </c>
      <c r="M470" s="645"/>
      <c r="N470" s="645"/>
      <c r="O470" s="645"/>
      <c r="P470" s="645"/>
      <c r="Q470" s="645"/>
      <c r="R470" s="642"/>
    </row>
    <row r="471" spans="1:18" s="684" customFormat="1" ht="17.25" customHeight="1">
      <c r="A471" s="631"/>
      <c r="B471" s="1672" t="s">
        <v>747</v>
      </c>
      <c r="C471" s="1672"/>
      <c r="D471" s="1672"/>
      <c r="E471" s="631"/>
      <c r="F471" s="631"/>
      <c r="G471" s="631"/>
      <c r="H471" s="895">
        <f>684580988+550295251+229568368+1279211174+583276211</f>
        <v>3326931992</v>
      </c>
      <c r="I471" s="1086"/>
      <c r="J471" s="1098">
        <v>265676286</v>
      </c>
      <c r="L471" s="642"/>
      <c r="M471" s="645"/>
      <c r="N471" s="645"/>
      <c r="O471" s="645"/>
      <c r="P471" s="645"/>
      <c r="Q471" s="645"/>
      <c r="R471" s="642"/>
    </row>
    <row r="472" spans="1:18" s="598" customFormat="1" ht="14.25" hidden="1">
      <c r="B472" s="1715" t="s">
        <v>295</v>
      </c>
      <c r="C472" s="1715"/>
      <c r="H472" s="1285">
        <v>0</v>
      </c>
      <c r="I472" s="1058"/>
      <c r="J472" s="1285"/>
      <c r="L472" s="600"/>
      <c r="M472" s="601"/>
      <c r="N472" s="601"/>
      <c r="O472" s="601"/>
      <c r="P472" s="601"/>
      <c r="Q472" s="601"/>
      <c r="R472" s="600"/>
    </row>
    <row r="473" spans="1:18" s="598" customFormat="1" ht="14.25" hidden="1">
      <c r="B473" s="1715" t="s">
        <v>597</v>
      </c>
      <c r="C473" s="1715"/>
      <c r="H473" s="1285">
        <v>0</v>
      </c>
      <c r="I473" s="1058"/>
      <c r="J473" s="1285"/>
      <c r="L473" s="600"/>
      <c r="M473" s="601"/>
      <c r="N473" s="601"/>
      <c r="O473" s="601"/>
      <c r="P473" s="601"/>
      <c r="Q473" s="601"/>
      <c r="R473" s="600"/>
    </row>
    <row r="474" spans="1:18" s="598" customFormat="1" ht="16.5" customHeight="1">
      <c r="A474" s="618"/>
      <c r="B474" s="1289"/>
      <c r="C474" s="1288"/>
      <c r="D474" s="1288"/>
      <c r="E474" s="1288"/>
      <c r="F474" s="1288"/>
      <c r="G474" s="1288"/>
      <c r="H474" s="621"/>
      <c r="I474" s="1287"/>
      <c r="J474" s="621"/>
      <c r="L474" s="600"/>
      <c r="M474" s="601"/>
      <c r="N474" s="601"/>
      <c r="O474" s="601"/>
      <c r="P474" s="601"/>
      <c r="Q474" s="601"/>
      <c r="R474" s="600"/>
    </row>
    <row r="475" spans="1:18" s="598" customFormat="1" ht="17.25" customHeight="1" thickBot="1">
      <c r="A475" s="615"/>
      <c r="B475" s="685" t="s">
        <v>1571</v>
      </c>
      <c r="C475" s="686"/>
      <c r="D475" s="686"/>
      <c r="E475" s="686"/>
      <c r="F475" s="686"/>
      <c r="G475" s="615"/>
      <c r="H475" s="1087">
        <f>H464+H472+H473</f>
        <v>46742969025</v>
      </c>
      <c r="I475" s="1061"/>
      <c r="J475" s="1087">
        <f>J464+J472+J473</f>
        <v>45000123884</v>
      </c>
      <c r="L475" s="600">
        <f>H475-BS!L82</f>
        <v>0</v>
      </c>
      <c r="M475" s="601"/>
      <c r="N475" s="1347">
        <f>J475-BS!N82</f>
        <v>0</v>
      </c>
      <c r="O475" s="601"/>
      <c r="P475" s="601"/>
      <c r="Q475" s="601"/>
      <c r="R475" s="600"/>
    </row>
    <row r="476" spans="1:18" s="598" customFormat="1" ht="7.5" customHeight="1" thickTop="1">
      <c r="B476" s="619"/>
      <c r="C476" s="618"/>
      <c r="D476" s="618"/>
      <c r="E476" s="618"/>
      <c r="F476" s="618"/>
      <c r="G476" s="618"/>
      <c r="H476" s="1058"/>
      <c r="I476" s="1058"/>
      <c r="J476" s="1058"/>
      <c r="L476" s="600"/>
      <c r="M476" s="601"/>
      <c r="N476" s="601"/>
      <c r="O476" s="601"/>
      <c r="P476" s="601"/>
      <c r="Q476" s="601"/>
      <c r="R476" s="600"/>
    </row>
    <row r="477" spans="1:18" s="615" customFormat="1" ht="18" customHeight="1">
      <c r="A477" s="615" t="s">
        <v>693</v>
      </c>
      <c r="B477" s="690" t="s">
        <v>748</v>
      </c>
      <c r="H477" s="612" t="s">
        <v>1428</v>
      </c>
      <c r="I477" s="613"/>
      <c r="J477" s="1136" t="s">
        <v>256</v>
      </c>
      <c r="K477" s="594"/>
      <c r="L477" s="596"/>
      <c r="M477" s="597"/>
      <c r="N477" s="687"/>
      <c r="O477" s="597"/>
      <c r="P477" s="597"/>
      <c r="Q477" s="597"/>
      <c r="R477" s="596"/>
    </row>
    <row r="478" spans="1:18" s="594" customFormat="1" ht="17.25" customHeight="1">
      <c r="B478" s="1491" t="s">
        <v>294</v>
      </c>
      <c r="C478" s="1253"/>
      <c r="D478" s="1253"/>
      <c r="E478" s="1253"/>
      <c r="F478" s="1253"/>
      <c r="H478" s="1086">
        <f>H479+H480+H481+H482</f>
        <v>18502726646</v>
      </c>
      <c r="I478" s="1061"/>
      <c r="J478" s="1086">
        <f>SUM(J479:J482)</f>
        <v>12324024662</v>
      </c>
      <c r="L478" s="596"/>
      <c r="M478" s="597"/>
      <c r="N478" s="687">
        <f>J478</f>
        <v>12324024662</v>
      </c>
      <c r="O478" s="597"/>
      <c r="P478" s="597"/>
      <c r="Q478" s="597"/>
      <c r="R478" s="596"/>
    </row>
    <row r="479" spans="1:18" s="594" customFormat="1" ht="17.25" customHeight="1">
      <c r="B479" s="1516" t="s">
        <v>1065</v>
      </c>
      <c r="C479" s="1253"/>
      <c r="D479" s="1253"/>
      <c r="E479" s="1253"/>
      <c r="F479" s="1253"/>
      <c r="H479" s="1285">
        <v>1184921235</v>
      </c>
      <c r="I479" s="1061"/>
      <c r="J479" s="1285">
        <v>894114904</v>
      </c>
      <c r="L479" s="596"/>
      <c r="M479" s="597"/>
      <c r="N479" s="597">
        <v>12440111972</v>
      </c>
      <c r="O479" s="597"/>
      <c r="P479" s="597"/>
      <c r="Q479" s="597"/>
      <c r="R479" s="596"/>
    </row>
    <row r="480" spans="1:18" s="594" customFormat="1" ht="17.25" customHeight="1">
      <c r="B480" s="1516" t="s">
        <v>1066</v>
      </c>
      <c r="C480" s="1253"/>
      <c r="D480" s="1253"/>
      <c r="E480" s="1253"/>
      <c r="F480" s="1253"/>
      <c r="H480" s="1285">
        <v>582086567</v>
      </c>
      <c r="I480" s="1061"/>
      <c r="J480" s="1285">
        <v>443913419</v>
      </c>
      <c r="L480" s="596"/>
      <c r="M480" s="597"/>
      <c r="N480" s="687">
        <f>N479-N478</f>
        <v>116087310</v>
      </c>
      <c r="O480" s="597"/>
      <c r="P480" s="597"/>
      <c r="Q480" s="597"/>
      <c r="R480" s="596"/>
    </row>
    <row r="481" spans="1:18" s="594" customFormat="1" ht="17.25" customHeight="1">
      <c r="B481" s="1517" t="s">
        <v>1067</v>
      </c>
      <c r="C481" s="1253"/>
      <c r="D481" s="1253"/>
      <c r="E481" s="1253"/>
      <c r="F481" s="1253"/>
      <c r="H481" s="1285">
        <v>260110729</v>
      </c>
      <c r="I481" s="1061"/>
      <c r="J481" s="1285">
        <v>198231572</v>
      </c>
      <c r="L481" s="596"/>
      <c r="M481" s="597"/>
      <c r="N481" s="597"/>
      <c r="O481" s="597"/>
      <c r="P481" s="597"/>
      <c r="Q481" s="597"/>
      <c r="R481" s="596"/>
    </row>
    <row r="482" spans="1:18" s="594" customFormat="1" ht="17.25" customHeight="1">
      <c r="B482" s="1517" t="s">
        <v>1068</v>
      </c>
      <c r="C482" s="1253"/>
      <c r="D482" s="1253"/>
      <c r="E482" s="1253"/>
      <c r="F482" s="1253"/>
      <c r="H482" s="1285">
        <v>16475608115</v>
      </c>
      <c r="I482" s="1061"/>
      <c r="J482" s="1285">
        <v>10787764767</v>
      </c>
      <c r="L482" s="596"/>
      <c r="M482" s="597"/>
      <c r="N482" s="597"/>
      <c r="O482" s="597"/>
      <c r="P482" s="597"/>
      <c r="Q482" s="597"/>
      <c r="R482" s="596"/>
    </row>
    <row r="483" spans="1:18" s="594" customFormat="1" ht="17.25" hidden="1" customHeight="1">
      <c r="B483" s="1321"/>
      <c r="C483" s="1253"/>
      <c r="D483" s="1253"/>
      <c r="E483" s="1253"/>
      <c r="F483" s="1253"/>
      <c r="H483" s="1285"/>
      <c r="I483" s="1061"/>
      <c r="J483" s="1285"/>
      <c r="L483" s="596"/>
      <c r="M483" s="597"/>
      <c r="N483" s="597"/>
      <c r="O483" s="597"/>
      <c r="P483" s="597"/>
      <c r="Q483" s="597"/>
      <c r="R483" s="596"/>
    </row>
    <row r="484" spans="1:18" s="594" customFormat="1" ht="17.25" hidden="1" customHeight="1">
      <c r="B484" s="1321"/>
      <c r="C484" s="1253"/>
      <c r="D484" s="1253"/>
      <c r="E484" s="1253"/>
      <c r="F484" s="1253"/>
      <c r="H484" s="1285"/>
      <c r="I484" s="1061"/>
      <c r="J484" s="1285"/>
      <c r="L484" s="596"/>
      <c r="M484" s="597"/>
      <c r="N484" s="597"/>
      <c r="O484" s="597"/>
      <c r="P484" s="597"/>
      <c r="Q484" s="597"/>
      <c r="R484" s="596"/>
    </row>
    <row r="485" spans="1:18" s="594" customFormat="1" ht="17.25" hidden="1" customHeight="1">
      <c r="B485" s="1321"/>
      <c r="C485" s="1253"/>
      <c r="D485" s="1253"/>
      <c r="E485" s="1253"/>
      <c r="F485" s="1253"/>
      <c r="H485" s="1285"/>
      <c r="I485" s="1061"/>
      <c r="J485" s="1285"/>
      <c r="L485" s="596"/>
      <c r="M485" s="597"/>
      <c r="N485" s="597"/>
      <c r="O485" s="597"/>
      <c r="P485" s="597"/>
      <c r="Q485" s="597"/>
      <c r="R485" s="596"/>
    </row>
    <row r="486" spans="1:18" s="594" customFormat="1" ht="17.25" hidden="1" customHeight="1">
      <c r="B486" s="1321"/>
      <c r="C486" s="1253"/>
      <c r="D486" s="1253"/>
      <c r="E486" s="1253"/>
      <c r="F486" s="1253"/>
      <c r="H486" s="1285"/>
      <c r="I486" s="1061"/>
      <c r="J486" s="1285"/>
      <c r="L486" s="596"/>
      <c r="M486" s="597"/>
      <c r="N486" s="597"/>
      <c r="O486" s="597"/>
      <c r="P486" s="597"/>
      <c r="Q486" s="597"/>
      <c r="R486" s="596"/>
    </row>
    <row r="487" spans="1:18" s="594" customFormat="1" ht="17.25" hidden="1" customHeight="1">
      <c r="B487" s="1321"/>
      <c r="C487" s="1253"/>
      <c r="D487" s="1253"/>
      <c r="E487" s="1253"/>
      <c r="F487" s="1253"/>
      <c r="H487" s="1285"/>
      <c r="I487" s="1061"/>
      <c r="J487" s="1285"/>
      <c r="L487" s="596"/>
      <c r="M487" s="597"/>
      <c r="N487" s="597"/>
      <c r="O487" s="597"/>
      <c r="P487" s="597"/>
      <c r="Q487" s="597"/>
      <c r="R487" s="596"/>
    </row>
    <row r="488" spans="1:18" s="594" customFormat="1" ht="19.5" customHeight="1">
      <c r="B488" s="1675" t="s">
        <v>597</v>
      </c>
      <c r="C488" s="1675"/>
      <c r="D488" s="1675"/>
      <c r="E488" s="1675"/>
      <c r="F488" s="1675"/>
      <c r="G488" s="615"/>
      <c r="H488" s="1086">
        <f>H489+H490</f>
        <v>116087310</v>
      </c>
      <c r="I488" s="1061"/>
      <c r="J488" s="1086">
        <f>J489+J490</f>
        <v>116087310</v>
      </c>
      <c r="L488" s="596"/>
      <c r="M488" s="597"/>
      <c r="N488" s="597"/>
      <c r="O488" s="597"/>
      <c r="P488" s="597"/>
      <c r="Q488" s="597"/>
      <c r="R488" s="596"/>
    </row>
    <row r="489" spans="1:18" s="594" customFormat="1" ht="19.5" customHeight="1">
      <c r="B489" s="1517" t="s">
        <v>1069</v>
      </c>
      <c r="C489" s="1321"/>
      <c r="D489" s="1321"/>
      <c r="E489" s="1321"/>
      <c r="F489" s="1321"/>
      <c r="G489" s="615"/>
      <c r="H489" s="1285">
        <v>20987310</v>
      </c>
      <c r="I489" s="1061"/>
      <c r="J489" s="1285">
        <v>20987310</v>
      </c>
      <c r="L489" s="596"/>
      <c r="M489" s="597"/>
      <c r="N489" s="597"/>
      <c r="O489" s="597"/>
      <c r="P489" s="597"/>
      <c r="Q489" s="597"/>
      <c r="R489" s="596"/>
    </row>
    <row r="490" spans="1:18" s="594" customFormat="1" ht="19.5" customHeight="1">
      <c r="B490" s="1516" t="s">
        <v>1070</v>
      </c>
      <c r="C490" s="1321"/>
      <c r="D490" s="1321"/>
      <c r="E490" s="1321"/>
      <c r="F490" s="1321"/>
      <c r="G490" s="615"/>
      <c r="H490" s="1285">
        <v>95100000</v>
      </c>
      <c r="I490" s="1061"/>
      <c r="J490" s="1285">
        <v>95100000</v>
      </c>
      <c r="L490" s="596"/>
      <c r="M490" s="597"/>
      <c r="N490" s="597"/>
      <c r="O490" s="597"/>
      <c r="P490" s="597"/>
      <c r="Q490" s="597"/>
      <c r="R490" s="596"/>
    </row>
    <row r="491" spans="1:18" s="594" customFormat="1" ht="15">
      <c r="B491" s="1675" t="s">
        <v>295</v>
      </c>
      <c r="C491" s="1675"/>
      <c r="D491" s="1253"/>
      <c r="E491" s="1253"/>
      <c r="F491" s="1253"/>
      <c r="G491" s="615"/>
      <c r="H491" s="1086">
        <v>0</v>
      </c>
      <c r="I491" s="1061"/>
      <c r="J491" s="1086">
        <v>0</v>
      </c>
      <c r="L491" s="596"/>
      <c r="M491" s="597"/>
      <c r="N491" s="597"/>
      <c r="O491" s="597"/>
      <c r="P491" s="597"/>
      <c r="Q491" s="597"/>
      <c r="R491" s="596"/>
    </row>
    <row r="492" spans="1:18" s="598" customFormat="1" ht="15" hidden="1">
      <c r="B492" s="1672" t="s">
        <v>296</v>
      </c>
      <c r="C492" s="1708"/>
      <c r="D492" s="1323"/>
      <c r="E492" s="1323"/>
      <c r="F492" s="1323"/>
      <c r="H492" s="1098"/>
      <c r="I492" s="1058"/>
      <c r="J492" s="1098"/>
      <c r="L492" s="626"/>
      <c r="M492" s="632"/>
      <c r="N492" s="632"/>
      <c r="O492" s="632"/>
      <c r="P492" s="632"/>
      <c r="Q492" s="632"/>
      <c r="R492" s="596"/>
    </row>
    <row r="493" spans="1:18" s="598" customFormat="1" ht="6" customHeight="1">
      <c r="B493" s="619"/>
      <c r="C493" s="618"/>
      <c r="D493" s="618"/>
      <c r="E493" s="618"/>
      <c r="F493" s="618"/>
      <c r="G493" s="618"/>
      <c r="H493" s="1058"/>
      <c r="I493" s="1058"/>
      <c r="J493" s="1058"/>
      <c r="L493" s="600"/>
      <c r="M493" s="601"/>
      <c r="N493" s="601"/>
      <c r="O493" s="601"/>
      <c r="P493" s="601"/>
      <c r="Q493" s="601"/>
      <c r="R493" s="600"/>
    </row>
    <row r="494" spans="1:18" s="615" customFormat="1" ht="18" customHeight="1" thickBot="1">
      <c r="B494" s="685" t="s">
        <v>1571</v>
      </c>
      <c r="C494" s="686"/>
      <c r="D494" s="686"/>
      <c r="E494" s="686"/>
      <c r="F494" s="686"/>
      <c r="H494" s="1087">
        <f>H478+H488+H491</f>
        <v>18618813956</v>
      </c>
      <c r="I494" s="1061"/>
      <c r="J494" s="1087">
        <f>J478+J488</f>
        <v>12440111972</v>
      </c>
      <c r="K494" s="618"/>
      <c r="L494" s="596">
        <f>H494-BS!L85-BS!L97</f>
        <v>0</v>
      </c>
      <c r="M494" s="596"/>
      <c r="N494" s="687">
        <f>J494-BS!N85-BS!N97</f>
        <v>0</v>
      </c>
      <c r="O494" s="689"/>
      <c r="P494" s="600"/>
      <c r="Q494" s="601"/>
      <c r="R494" s="596"/>
    </row>
    <row r="495" spans="1:18" s="631" customFormat="1" ht="9.75" customHeight="1" thickTop="1">
      <c r="B495" s="688"/>
      <c r="H495" s="1083"/>
      <c r="I495" s="1083"/>
      <c r="J495" s="1083"/>
      <c r="K495" s="618"/>
      <c r="L495" s="596"/>
      <c r="M495" s="596"/>
      <c r="N495" s="596"/>
      <c r="O495" s="600"/>
      <c r="P495" s="600"/>
      <c r="Q495" s="601"/>
      <c r="R495" s="596"/>
    </row>
    <row r="496" spans="1:18" s="601" customFormat="1" ht="16.5" hidden="1" customHeight="1">
      <c r="A496" s="610" t="s">
        <v>935</v>
      </c>
      <c r="B496" s="690" t="s">
        <v>1362</v>
      </c>
      <c r="H496" s="1085"/>
      <c r="I496" s="1085"/>
      <c r="J496" s="1085"/>
      <c r="K496" s="622"/>
      <c r="L496" s="596"/>
      <c r="M496" s="597"/>
      <c r="N496" s="597"/>
      <c r="R496" s="596"/>
    </row>
    <row r="497" spans="1:18" s="601" customFormat="1" ht="11.25" hidden="1" customHeight="1">
      <c r="B497" s="691" t="s">
        <v>951</v>
      </c>
      <c r="H497" s="1059">
        <v>0</v>
      </c>
      <c r="I497" s="1059"/>
      <c r="J497" s="1059">
        <v>0</v>
      </c>
      <c r="K497" s="622"/>
      <c r="L497" s="596"/>
      <c r="M497" s="597"/>
      <c r="N497" s="597"/>
      <c r="R497" s="600"/>
    </row>
    <row r="498" spans="1:18" s="601" customFormat="1" ht="11.25" hidden="1" customHeight="1">
      <c r="B498" s="691" t="s">
        <v>952</v>
      </c>
      <c r="H498" s="1059">
        <v>0</v>
      </c>
      <c r="I498" s="1059"/>
      <c r="J498" s="1059">
        <v>0</v>
      </c>
      <c r="K498" s="622"/>
      <c r="L498" s="596"/>
      <c r="M498" s="597"/>
      <c r="N498" s="597"/>
      <c r="R498" s="600"/>
    </row>
    <row r="499" spans="1:18" s="601" customFormat="1" ht="11.25" hidden="1" customHeight="1">
      <c r="B499" s="691"/>
      <c r="H499" s="1059"/>
      <c r="I499" s="1059"/>
      <c r="J499" s="1059"/>
      <c r="K499" s="622"/>
      <c r="L499" s="596"/>
      <c r="M499" s="597"/>
      <c r="N499" s="597"/>
      <c r="R499" s="600"/>
    </row>
    <row r="500" spans="1:18" s="601" customFormat="1" ht="11.25" hidden="1" customHeight="1" thickBot="1">
      <c r="B500" s="685" t="s">
        <v>1571</v>
      </c>
      <c r="C500" s="692"/>
      <c r="D500" s="692"/>
      <c r="E500" s="692"/>
      <c r="F500" s="692"/>
      <c r="H500" s="1087">
        <f>SUM(H497:H499)</f>
        <v>0</v>
      </c>
      <c r="I500" s="1061"/>
      <c r="J500" s="1087">
        <f>SUM(J497:J499)</f>
        <v>0</v>
      </c>
      <c r="K500" s="622"/>
      <c r="L500" s="596"/>
      <c r="M500" s="597"/>
      <c r="N500" s="597"/>
      <c r="R500" s="600"/>
    </row>
    <row r="501" spans="1:18" s="597" customFormat="1" ht="3" customHeight="1">
      <c r="B501" s="693"/>
      <c r="H501" s="1085"/>
      <c r="I501" s="1099"/>
      <c r="J501" s="1085"/>
      <c r="K501" s="601"/>
      <c r="L501" s="596"/>
      <c r="O501" s="601"/>
      <c r="P501" s="601"/>
      <c r="Q501" s="601"/>
      <c r="R501" s="596"/>
    </row>
    <row r="502" spans="1:18" s="597" customFormat="1" ht="18" customHeight="1">
      <c r="A502" s="610" t="s">
        <v>695</v>
      </c>
      <c r="B502" s="690" t="s">
        <v>874</v>
      </c>
      <c r="H502" s="612" t="s">
        <v>1428</v>
      </c>
      <c r="I502" s="613"/>
      <c r="J502" s="1136" t="s">
        <v>256</v>
      </c>
      <c r="L502" s="596"/>
      <c r="R502" s="596"/>
    </row>
    <row r="503" spans="1:18" s="597" customFormat="1" ht="18" customHeight="1">
      <c r="A503" s="597" t="s">
        <v>1414</v>
      </c>
      <c r="B503" s="693" t="s">
        <v>1416</v>
      </c>
      <c r="H503" s="1099">
        <f>H504</f>
        <v>17789458203</v>
      </c>
      <c r="I503" s="1099">
        <v>1400000000</v>
      </c>
      <c r="J503" s="1099">
        <f>J504</f>
        <v>21560203115</v>
      </c>
      <c r="L503" s="596"/>
      <c r="R503" s="596"/>
    </row>
    <row r="504" spans="1:18" s="597" customFormat="1" ht="18" customHeight="1">
      <c r="B504" s="1321" t="s">
        <v>294</v>
      </c>
      <c r="H504" s="1415">
        <f>SUM(H505:H507)</f>
        <v>17789458203</v>
      </c>
      <c r="I504" s="1099"/>
      <c r="J504" s="1415">
        <f>SUM(J505:J507)</f>
        <v>21560203115</v>
      </c>
      <c r="L504" s="596"/>
      <c r="R504" s="596"/>
    </row>
    <row r="505" spans="1:18" s="632" customFormat="1" ht="18" customHeight="1">
      <c r="B505" s="1413" t="s">
        <v>631</v>
      </c>
      <c r="H505" s="1414">
        <v>12951485067</v>
      </c>
      <c r="I505" s="1083"/>
      <c r="J505" s="1414">
        <v>16051485067</v>
      </c>
      <c r="L505" s="626"/>
      <c r="R505" s="626"/>
    </row>
    <row r="506" spans="1:18" s="632" customFormat="1" ht="18" customHeight="1">
      <c r="B506" s="1413" t="s">
        <v>582</v>
      </c>
      <c r="H506" s="1414">
        <v>1448573136</v>
      </c>
      <c r="I506" s="1083"/>
      <c r="J506" s="1414">
        <v>2119318048</v>
      </c>
      <c r="L506" s="626"/>
      <c r="R506" s="626"/>
    </row>
    <row r="507" spans="1:18" s="632" customFormat="1" ht="18" customHeight="1">
      <c r="B507" s="1413" t="s">
        <v>749</v>
      </c>
      <c r="H507" s="1414">
        <v>3389400000</v>
      </c>
      <c r="I507" s="1083"/>
      <c r="J507" s="1414">
        <v>3389400000</v>
      </c>
      <c r="L507" s="626"/>
      <c r="R507" s="626"/>
    </row>
    <row r="508" spans="1:18" s="601" customFormat="1" ht="15.75" customHeight="1">
      <c r="B508" s="575"/>
      <c r="H508" s="1059"/>
      <c r="I508" s="1059"/>
      <c r="J508" s="566"/>
      <c r="L508" s="689"/>
      <c r="R508" s="600"/>
    </row>
    <row r="509" spans="1:18" s="597" customFormat="1" ht="15">
      <c r="A509" s="597" t="s">
        <v>1415</v>
      </c>
      <c r="B509" s="693" t="s">
        <v>1417</v>
      </c>
      <c r="H509" s="1099">
        <f>H510+H511</f>
        <v>18985906282</v>
      </c>
      <c r="I509" s="1099"/>
      <c r="J509" s="1099">
        <f>J510+J511</f>
        <v>18985906282</v>
      </c>
      <c r="L509" s="596"/>
      <c r="R509" s="596"/>
    </row>
    <row r="510" spans="1:18" s="601" customFormat="1" ht="14.25">
      <c r="B510" s="1334" t="s">
        <v>750</v>
      </c>
      <c r="H510" s="1059">
        <v>18985906282</v>
      </c>
      <c r="I510" s="1059"/>
      <c r="J510" s="1059">
        <v>18985906282</v>
      </c>
      <c r="L510" s="600"/>
      <c r="R510" s="600"/>
    </row>
    <row r="511" spans="1:18" s="601" customFormat="1" ht="15" hidden="1">
      <c r="B511" s="1464" t="s">
        <v>1354</v>
      </c>
      <c r="H511" s="621">
        <f>SUM(H512:H514)</f>
        <v>0</v>
      </c>
      <c r="I511" s="621"/>
      <c r="J511" s="621">
        <f>SUM(J512:J514)</f>
        <v>0</v>
      </c>
      <c r="L511" s="1416"/>
      <c r="O511" s="601">
        <f>187314087151-187502887151</f>
        <v>-188800000</v>
      </c>
      <c r="R511" s="600"/>
    </row>
    <row r="512" spans="1:18" s="645" customFormat="1" ht="18.75" hidden="1" customHeight="1">
      <c r="B512" s="1413" t="s">
        <v>631</v>
      </c>
      <c r="H512" s="646">
        <v>0</v>
      </c>
      <c r="I512" s="646"/>
      <c r="J512" s="646"/>
      <c r="L512" s="642"/>
      <c r="R512" s="642"/>
    </row>
    <row r="513" spans="1:18" s="645" customFormat="1" ht="18.75" hidden="1" customHeight="1">
      <c r="B513" s="1413" t="s">
        <v>582</v>
      </c>
      <c r="H513" s="646">
        <v>0</v>
      </c>
      <c r="I513" s="646"/>
      <c r="J513" s="646"/>
      <c r="L513" s="642"/>
      <c r="R513" s="642"/>
    </row>
    <row r="514" spans="1:18" s="645" customFormat="1" ht="18.75" hidden="1" customHeight="1">
      <c r="B514" s="1413" t="s">
        <v>749</v>
      </c>
      <c r="H514" s="646">
        <v>0</v>
      </c>
      <c r="I514" s="646"/>
      <c r="J514" s="646"/>
      <c r="L514" s="642"/>
      <c r="R514" s="642"/>
    </row>
    <row r="515" spans="1:18" s="645" customFormat="1" ht="18.75" hidden="1" customHeight="1">
      <c r="B515" s="1413"/>
      <c r="H515" s="646"/>
      <c r="I515" s="646"/>
      <c r="J515" s="646"/>
      <c r="L515" s="642"/>
      <c r="R515" s="642"/>
    </row>
    <row r="516" spans="1:18" s="631" customFormat="1" ht="15">
      <c r="A516" s="684"/>
      <c r="B516" s="768"/>
      <c r="H516" s="1098"/>
      <c r="I516" s="1098"/>
      <c r="J516" s="1098"/>
      <c r="L516" s="626"/>
      <c r="M516" s="632"/>
      <c r="N516" s="632"/>
      <c r="O516" s="632"/>
      <c r="P516" s="632"/>
      <c r="Q516" s="632"/>
      <c r="R516" s="626"/>
    </row>
    <row r="517" spans="1:18" s="597" customFormat="1" ht="15.75" thickBot="1">
      <c r="B517" s="685" t="s">
        <v>1571</v>
      </c>
      <c r="C517" s="644"/>
      <c r="D517" s="644"/>
      <c r="E517" s="644"/>
      <c r="F517" s="644"/>
      <c r="H517" s="1087">
        <f>H509+H503</f>
        <v>36775364485</v>
      </c>
      <c r="I517" s="1061"/>
      <c r="J517" s="1087">
        <f>J509+J503</f>
        <v>40546109397</v>
      </c>
      <c r="L517" s="596">
        <f>H517-BS!L93</f>
        <v>0</v>
      </c>
      <c r="N517" s="687">
        <f>J517-BS!N93</f>
        <v>0</v>
      </c>
      <c r="R517" s="596"/>
    </row>
    <row r="518" spans="1:18" s="637" customFormat="1" ht="11.25" customHeight="1" thickTop="1">
      <c r="B518" s="694"/>
      <c r="H518" s="1085"/>
      <c r="I518" s="1099"/>
      <c r="J518" s="1085"/>
      <c r="L518" s="636"/>
      <c r="R518" s="636"/>
    </row>
    <row r="519" spans="1:18" s="597" customFormat="1" ht="20.25" hidden="1" customHeight="1">
      <c r="A519" s="597" t="s">
        <v>1355</v>
      </c>
      <c r="B519" s="693" t="s">
        <v>1360</v>
      </c>
      <c r="H519" s="1085"/>
      <c r="I519" s="1099"/>
      <c r="J519" s="1085"/>
      <c r="L519" s="596"/>
      <c r="R519" s="596"/>
    </row>
    <row r="520" spans="1:18" s="597" customFormat="1" ht="26.25" hidden="1" customHeight="1">
      <c r="A520" s="610" t="s">
        <v>937</v>
      </c>
      <c r="B520" s="693" t="s">
        <v>1361</v>
      </c>
      <c r="H520" s="1085"/>
      <c r="I520" s="1099"/>
      <c r="J520" s="1085"/>
      <c r="L520" s="596"/>
      <c r="R520" s="596"/>
    </row>
    <row r="521" spans="1:18" s="697" customFormat="1" ht="18" hidden="1" customHeight="1">
      <c r="A521" s="637" t="s">
        <v>1414</v>
      </c>
      <c r="B521" s="696" t="s">
        <v>1295</v>
      </c>
      <c r="H521" s="1084" t="s">
        <v>436</v>
      </c>
      <c r="I521" s="1097"/>
      <c r="J521" s="1084" t="s">
        <v>256</v>
      </c>
      <c r="L521" s="636"/>
      <c r="M521" s="637"/>
      <c r="N521" s="637"/>
      <c r="O521" s="637"/>
      <c r="P521" s="637"/>
      <c r="Q521" s="637"/>
      <c r="R521" s="636"/>
    </row>
    <row r="522" spans="1:18" ht="18" hidden="1" customHeight="1"/>
    <row r="523" spans="1:18" s="699" customFormat="1" ht="34.5" hidden="1" customHeight="1">
      <c r="A523" s="698"/>
      <c r="B523" s="1712" t="s">
        <v>1356</v>
      </c>
      <c r="C523" s="1712"/>
      <c r="D523" s="1712"/>
      <c r="E523" s="1712"/>
      <c r="F523" s="1712"/>
      <c r="G523" s="1712"/>
      <c r="H523" s="1051">
        <v>0</v>
      </c>
      <c r="I523" s="1051"/>
      <c r="J523" s="1051">
        <v>0</v>
      </c>
      <c r="L523" s="700"/>
      <c r="M523" s="701"/>
      <c r="N523" s="701"/>
      <c r="O523" s="702"/>
      <c r="P523" s="702"/>
      <c r="Q523" s="702"/>
      <c r="R523" s="700"/>
    </row>
    <row r="524" spans="1:18" s="699" customFormat="1" ht="34.5" hidden="1" customHeight="1">
      <c r="A524" s="698"/>
      <c r="B524" s="1712" t="s">
        <v>1363</v>
      </c>
      <c r="C524" s="1712"/>
      <c r="D524" s="1712"/>
      <c r="E524" s="1712"/>
      <c r="F524" s="1712"/>
      <c r="G524" s="1712"/>
      <c r="H524" s="1051">
        <v>0</v>
      </c>
      <c r="I524" s="1051"/>
      <c r="J524" s="1051">
        <v>0</v>
      </c>
      <c r="L524" s="700"/>
      <c r="M524" s="701"/>
      <c r="N524" s="701"/>
      <c r="O524" s="702"/>
      <c r="P524" s="702"/>
      <c r="Q524" s="702"/>
      <c r="R524" s="700"/>
    </row>
    <row r="525" spans="1:18" s="699" customFormat="1" ht="34.5" hidden="1" customHeight="1">
      <c r="A525" s="698"/>
      <c r="B525" s="1712" t="s">
        <v>1364</v>
      </c>
      <c r="C525" s="1712"/>
      <c r="D525" s="1712"/>
      <c r="E525" s="1712"/>
      <c r="F525" s="1712"/>
      <c r="G525" s="1712"/>
      <c r="H525" s="1051">
        <v>0</v>
      </c>
      <c r="I525" s="1051"/>
      <c r="J525" s="1051">
        <v>0</v>
      </c>
      <c r="L525" s="700"/>
      <c r="M525" s="701"/>
      <c r="N525" s="701"/>
      <c r="O525" s="702"/>
      <c r="P525" s="702"/>
      <c r="Q525" s="702"/>
      <c r="R525" s="700"/>
    </row>
    <row r="526" spans="1:18" s="699" customFormat="1" ht="34.5" hidden="1" customHeight="1">
      <c r="A526" s="698"/>
      <c r="B526" s="1712" t="s">
        <v>1365</v>
      </c>
      <c r="C526" s="1712"/>
      <c r="D526" s="1712"/>
      <c r="E526" s="1712"/>
      <c r="F526" s="1712"/>
      <c r="G526" s="1712"/>
      <c r="H526" s="1051">
        <v>0</v>
      </c>
      <c r="I526" s="1051"/>
      <c r="J526" s="1051">
        <v>0</v>
      </c>
      <c r="L526" s="700"/>
      <c r="M526" s="701"/>
      <c r="N526" s="701"/>
      <c r="O526" s="702"/>
      <c r="P526" s="702"/>
      <c r="Q526" s="702"/>
      <c r="R526" s="700"/>
    </row>
    <row r="527" spans="1:18" s="697" customFormat="1" ht="18" hidden="1" customHeight="1">
      <c r="A527" s="703"/>
      <c r="B527" s="696" t="s">
        <v>1366</v>
      </c>
      <c r="F527" s="696"/>
      <c r="H527" s="1061"/>
      <c r="I527" s="1061"/>
      <c r="J527" s="1061"/>
      <c r="L527" s="636"/>
      <c r="M527" s="637"/>
      <c r="N527" s="637"/>
      <c r="O527" s="637"/>
      <c r="P527" s="637"/>
      <c r="Q527" s="637"/>
      <c r="R527" s="636"/>
    </row>
    <row r="528" spans="1:18" ht="18" hidden="1" customHeight="1">
      <c r="F528" s="696"/>
    </row>
    <row r="529" spans="1:10" ht="18" hidden="1" customHeight="1">
      <c r="A529" s="637" t="s">
        <v>1415</v>
      </c>
      <c r="B529" s="696" t="s">
        <v>1367</v>
      </c>
      <c r="F529" s="696"/>
      <c r="H529" s="1084" t="s">
        <v>436</v>
      </c>
      <c r="I529" s="1097"/>
      <c r="J529" s="1084" t="s">
        <v>256</v>
      </c>
    </row>
    <row r="530" spans="1:10" ht="33.75" hidden="1" customHeight="1">
      <c r="B530" s="1712" t="s">
        <v>1368</v>
      </c>
      <c r="C530" s="1712"/>
      <c r="D530" s="1712"/>
      <c r="E530" s="1712"/>
      <c r="F530" s="1712"/>
      <c r="G530" s="1712"/>
      <c r="H530" s="1058">
        <v>0</v>
      </c>
      <c r="J530" s="1058">
        <v>0</v>
      </c>
    </row>
    <row r="531" spans="1:10" ht="33.75" hidden="1" customHeight="1">
      <c r="B531" s="1712" t="s">
        <v>1387</v>
      </c>
      <c r="C531" s="1712"/>
      <c r="D531" s="1712"/>
      <c r="E531" s="1712"/>
      <c r="F531" s="1712"/>
      <c r="G531" s="1712"/>
      <c r="H531" s="1058">
        <v>0</v>
      </c>
      <c r="J531" s="1058">
        <v>0</v>
      </c>
    </row>
    <row r="532" spans="1:10" ht="19.5" hidden="1" customHeight="1">
      <c r="B532" s="1712" t="s">
        <v>1388</v>
      </c>
      <c r="C532" s="1712"/>
      <c r="D532" s="1712"/>
      <c r="E532" s="1712"/>
      <c r="F532" s="1712"/>
      <c r="G532" s="1712"/>
      <c r="H532" s="1058">
        <v>0</v>
      </c>
      <c r="J532" s="1058">
        <v>0</v>
      </c>
    </row>
  </sheetData>
  <mergeCells count="59">
    <mergeCell ref="H42:J42"/>
    <mergeCell ref="B59:C59"/>
    <mergeCell ref="B60:J60"/>
    <mergeCell ref="D61:E61"/>
    <mergeCell ref="G61:H61"/>
    <mergeCell ref="I61:J61"/>
    <mergeCell ref="H65:I65"/>
    <mergeCell ref="C65:E65"/>
    <mergeCell ref="D84:F84"/>
    <mergeCell ref="H84:J84"/>
    <mergeCell ref="B84:C85"/>
    <mergeCell ref="F65:G65"/>
    <mergeCell ref="B532:G532"/>
    <mergeCell ref="B531:G531"/>
    <mergeCell ref="B530:G530"/>
    <mergeCell ref="B526:G526"/>
    <mergeCell ref="D19:F19"/>
    <mergeCell ref="D20:F20"/>
    <mergeCell ref="D21:F21"/>
    <mergeCell ref="D30:F30"/>
    <mergeCell ref="D26:F26"/>
    <mergeCell ref="D27:F27"/>
    <mergeCell ref="B488:F488"/>
    <mergeCell ref="B472:C472"/>
    <mergeCell ref="B473:C473"/>
    <mergeCell ref="B464:C464"/>
    <mergeCell ref="B470:D470"/>
    <mergeCell ref="B471:D471"/>
    <mergeCell ref="B525:G525"/>
    <mergeCell ref="B524:G524"/>
    <mergeCell ref="B523:G523"/>
    <mergeCell ref="B107:J107"/>
    <mergeCell ref="D143:E143"/>
    <mergeCell ref="B465:D465"/>
    <mergeCell ref="B469:D469"/>
    <mergeCell ref="D144:E144"/>
    <mergeCell ref="B466:D466"/>
    <mergeCell ref="B468:F468"/>
    <mergeCell ref="B467:F467"/>
    <mergeCell ref="B491:C491"/>
    <mergeCell ref="B492:C492"/>
    <mergeCell ref="D7:F7"/>
    <mergeCell ref="D8:F8"/>
    <mergeCell ref="D9:F9"/>
    <mergeCell ref="D10:F10"/>
    <mergeCell ref="D15:F15"/>
    <mergeCell ref="D25:F25"/>
    <mergeCell ref="D11:F11"/>
    <mergeCell ref="D14:F14"/>
    <mergeCell ref="D28:F28"/>
    <mergeCell ref="D29:F29"/>
    <mergeCell ref="B42:B43"/>
    <mergeCell ref="D42:F42"/>
    <mergeCell ref="D22:F22"/>
    <mergeCell ref="D23:F23"/>
    <mergeCell ref="D16:F16"/>
    <mergeCell ref="D17:F17"/>
    <mergeCell ref="D24:F24"/>
    <mergeCell ref="D18:F18"/>
  </mergeCells>
  <phoneticPr fontId="36" type="noConversion"/>
  <pageMargins left="0.6" right="0.25" top="0.36" bottom="0.79" header="0.28999999999999998" footer="0.32"/>
  <pageSetup paperSize="9" firstPageNumber="24" orientation="portrait" useFirstPageNumber="1" r:id="rId1"/>
  <headerFooter alignWithMargins="0">
    <oddFooter>&amp;C
&amp;P</oddFooter>
  </headerFooter>
  <rowBreaks count="1" manualBreakCount="1">
    <brk id="537" max="13" man="1"/>
  </rowBreaks>
</worksheet>
</file>

<file path=xl/worksheets/sheet47.xml><?xml version="1.0" encoding="utf-8"?>
<worksheet xmlns="http://schemas.openxmlformats.org/spreadsheetml/2006/main" xmlns:r="http://schemas.openxmlformats.org/officeDocument/2006/relationships">
  <sheetPr codeName="Sheet17" enableFormatConditionsCalculation="0">
    <tabColor indexed="14"/>
  </sheetPr>
  <dimension ref="A1:S327"/>
  <sheetViews>
    <sheetView topLeftCell="A10" workbookViewId="0">
      <selection activeCell="K27" sqref="K27"/>
    </sheetView>
  </sheetViews>
  <sheetFormatPr defaultRowHeight="15"/>
  <cols>
    <col min="1" max="1" width="22.375" style="747" customWidth="1"/>
    <col min="2" max="2" width="13.875" style="755" customWidth="1"/>
    <col min="3" max="3" width="13.375" style="755" customWidth="1"/>
    <col min="4" max="4" width="13.25" style="755" customWidth="1"/>
    <col min="5" max="5" width="12.75" style="755" hidden="1" customWidth="1"/>
    <col min="6" max="6" width="13.875" style="755" customWidth="1"/>
    <col min="7" max="7" width="12.5" style="751" customWidth="1"/>
    <col min="8" max="8" width="11" style="751" customWidth="1"/>
    <col min="9" max="9" width="13.625" style="751" customWidth="1"/>
    <col min="10" max="10" width="0.5" style="751" hidden="1" customWidth="1"/>
    <col min="11" max="11" width="14.375" style="751" customWidth="1"/>
    <col min="12" max="12" width="15.375" style="751" bestFit="1" customWidth="1"/>
    <col min="13" max="13" width="32" style="747" customWidth="1"/>
    <col min="14" max="14" width="0.75" style="747" customWidth="1"/>
    <col min="15" max="15" width="15.75" style="747" customWidth="1"/>
    <col min="16" max="16" width="1.25" style="747" customWidth="1"/>
    <col min="17" max="17" width="15.5" style="747" bestFit="1" customWidth="1"/>
    <col min="18" max="16384" width="9" style="747"/>
  </cols>
  <sheetData>
    <row r="1" spans="1:19" s="149" customFormat="1" ht="21" customHeight="1">
      <c r="A1" s="1290" t="str">
        <f>BS!A1</f>
        <v>C«ng ty Cæ phÇn §Çu t­ &amp; Th­¬ng m¹i DÇu KhÝ S«ng §µ</v>
      </c>
      <c r="I1" s="150"/>
      <c r="M1" s="518"/>
      <c r="N1" s="157"/>
      <c r="O1" s="157"/>
      <c r="P1" s="157"/>
      <c r="Q1" s="157"/>
      <c r="R1" s="157"/>
      <c r="S1" s="518"/>
    </row>
    <row r="2" spans="1:19" s="151" customFormat="1" ht="15.75" customHeight="1">
      <c r="A2" s="1170" t="str">
        <f>BS!A2</f>
        <v>§Þa chØ: TÇng 4, CT3, tßa nhµ Fodacon, ®­êng TrÇn Phó</v>
      </c>
      <c r="B2" s="155"/>
      <c r="I2" s="152"/>
      <c r="K2" s="1553" t="s">
        <v>1227</v>
      </c>
      <c r="M2" s="519"/>
      <c r="N2" s="155"/>
      <c r="O2" s="155"/>
      <c r="P2" s="155"/>
      <c r="Q2" s="155"/>
      <c r="R2" s="155"/>
      <c r="S2" s="519"/>
    </row>
    <row r="3" spans="1:19" s="151" customFormat="1" ht="15.75" customHeight="1">
      <c r="A3" s="1279" t="s">
        <v>887</v>
      </c>
      <c r="B3" s="153"/>
      <c r="C3" s="153"/>
      <c r="D3" s="153"/>
      <c r="E3" s="153"/>
      <c r="F3" s="153"/>
      <c r="G3" s="153"/>
      <c r="H3" s="153"/>
      <c r="I3" s="154"/>
      <c r="J3" s="153"/>
      <c r="K3" s="1554" t="str">
        <f>BS!N3</f>
        <v>Gi÷a niªn ®é kÕt thóc ngµy 30/06/2013</v>
      </c>
      <c r="M3" s="519"/>
      <c r="N3" s="155"/>
      <c r="O3" s="155"/>
      <c r="P3" s="155"/>
      <c r="Q3" s="155"/>
      <c r="R3" s="155"/>
      <c r="S3" s="519"/>
    </row>
    <row r="4" spans="1:19" s="151" customFormat="1" ht="18" customHeight="1">
      <c r="A4" s="575"/>
      <c r="B4" s="155"/>
      <c r="C4" s="155"/>
      <c r="D4" s="155"/>
      <c r="E4" s="155"/>
      <c r="F4" s="155"/>
      <c r="G4" s="155"/>
      <c r="H4" s="155"/>
      <c r="I4" s="156"/>
      <c r="J4" s="155"/>
      <c r="K4" s="156"/>
      <c r="M4" s="519"/>
      <c r="N4" s="155"/>
      <c r="O4" s="155"/>
      <c r="P4" s="155"/>
      <c r="Q4" s="155"/>
      <c r="R4" s="155"/>
      <c r="S4" s="519"/>
    </row>
    <row r="5" spans="1:19" s="149" customFormat="1" ht="18" customHeight="1">
      <c r="A5" s="574" t="s">
        <v>318</v>
      </c>
      <c r="B5" s="157"/>
      <c r="C5" s="157"/>
      <c r="D5" s="157"/>
      <c r="E5" s="157"/>
      <c r="F5" s="157"/>
      <c r="G5" s="157"/>
      <c r="H5" s="157"/>
      <c r="I5" s="158"/>
      <c r="J5" s="158"/>
      <c r="M5" s="518"/>
      <c r="N5" s="157"/>
      <c r="O5" s="157"/>
      <c r="P5" s="157"/>
      <c r="Q5" s="157"/>
      <c r="R5" s="157"/>
      <c r="S5" s="518"/>
    </row>
    <row r="6" spans="1:19" s="722" customFormat="1" ht="17.25" customHeight="1">
      <c r="A6" s="719" t="s">
        <v>239</v>
      </c>
      <c r="B6" s="1365"/>
      <c r="C6" s="720"/>
      <c r="D6" s="720"/>
      <c r="E6" s="720"/>
      <c r="F6" s="720"/>
      <c r="G6" s="720"/>
      <c r="H6" s="720"/>
      <c r="I6" s="720"/>
      <c r="J6" s="720"/>
      <c r="K6" s="720"/>
      <c r="L6" s="721"/>
    </row>
    <row r="7" spans="1:19" s="722" customFormat="1" ht="4.5" customHeight="1" thickBot="1">
      <c r="A7" s="723"/>
      <c r="B7" s="724"/>
      <c r="C7" s="725"/>
      <c r="D7" s="725"/>
      <c r="E7" s="725"/>
      <c r="F7" s="725"/>
      <c r="G7" s="721"/>
      <c r="H7" s="721"/>
      <c r="I7" s="721"/>
      <c r="J7" s="721"/>
      <c r="K7" s="726"/>
      <c r="L7" s="721"/>
    </row>
    <row r="8" spans="1:19" s="727" customFormat="1" ht="48" customHeight="1" thickTop="1">
      <c r="A8" s="1431" t="s">
        <v>1326</v>
      </c>
      <c r="B8" s="1432" t="s">
        <v>240</v>
      </c>
      <c r="C8" s="1433" t="s">
        <v>877</v>
      </c>
      <c r="D8" s="1433" t="s">
        <v>857</v>
      </c>
      <c r="E8" s="1433" t="s">
        <v>856</v>
      </c>
      <c r="F8" s="1433" t="s">
        <v>858</v>
      </c>
      <c r="G8" s="1433" t="s">
        <v>437</v>
      </c>
      <c r="H8" s="1433" t="s">
        <v>751</v>
      </c>
      <c r="I8" s="1433" t="s">
        <v>241</v>
      </c>
      <c r="J8" s="1434" t="s">
        <v>1520</v>
      </c>
      <c r="K8" s="1435" t="s">
        <v>1685</v>
      </c>
      <c r="M8" s="728"/>
      <c r="N8" s="729"/>
    </row>
    <row r="9" spans="1:19" s="730" customFormat="1">
      <c r="A9" s="1436"/>
      <c r="B9" s="1437"/>
      <c r="C9" s="1438"/>
      <c r="D9" s="1438"/>
      <c r="E9" s="1438"/>
      <c r="F9" s="1438"/>
      <c r="G9" s="1438"/>
      <c r="H9" s="1438"/>
      <c r="I9" s="1438"/>
      <c r="J9" s="1439"/>
      <c r="K9" s="1440"/>
      <c r="M9" s="728"/>
      <c r="N9" s="729"/>
    </row>
    <row r="10" spans="1:19" s="730" customFormat="1" ht="17.25" customHeight="1">
      <c r="A10" s="1441" t="s">
        <v>244</v>
      </c>
      <c r="B10" s="1437">
        <v>111144720000</v>
      </c>
      <c r="C10" s="1442">
        <v>25412622500</v>
      </c>
      <c r="D10" s="1442">
        <v>-1577325294</v>
      </c>
      <c r="E10" s="1443"/>
      <c r="F10" s="1442">
        <v>7209778043</v>
      </c>
      <c r="G10" s="1438">
        <v>1591574981</v>
      </c>
      <c r="H10" s="1438">
        <v>213538854</v>
      </c>
      <c r="I10" s="1438">
        <v>23123698180</v>
      </c>
      <c r="J10" s="1439"/>
      <c r="K10" s="1444">
        <f t="shared" ref="K10:K17" si="0">SUM(B10:J10)</f>
        <v>167118607264</v>
      </c>
      <c r="M10" s="731"/>
      <c r="N10" s="732"/>
    </row>
    <row r="11" spans="1:19" s="730" customFormat="1" ht="17.25" customHeight="1">
      <c r="A11" s="1445" t="s">
        <v>440</v>
      </c>
      <c r="B11" s="1446">
        <v>0</v>
      </c>
      <c r="C11" s="1446"/>
      <c r="D11" s="1446"/>
      <c r="E11" s="1446"/>
      <c r="F11" s="1446"/>
      <c r="G11" s="1446"/>
      <c r="H11" s="1446"/>
      <c r="I11" s="1446"/>
      <c r="J11" s="1447"/>
      <c r="K11" s="1448">
        <f t="shared" si="0"/>
        <v>0</v>
      </c>
      <c r="M11" s="731"/>
      <c r="N11" s="732"/>
    </row>
    <row r="12" spans="1:19" s="730" customFormat="1" ht="17.25" customHeight="1">
      <c r="A12" s="1445" t="s">
        <v>441</v>
      </c>
      <c r="B12" s="1442"/>
      <c r="C12" s="1446"/>
      <c r="D12" s="1446"/>
      <c r="E12" s="1446"/>
      <c r="F12" s="1446"/>
      <c r="G12" s="1446"/>
      <c r="H12" s="1446"/>
      <c r="I12" s="1446">
        <v>0</v>
      </c>
      <c r="J12" s="1447"/>
      <c r="K12" s="1448">
        <f t="shared" si="0"/>
        <v>0</v>
      </c>
      <c r="M12" s="733"/>
      <c r="N12" s="732"/>
    </row>
    <row r="13" spans="1:19" s="730" customFormat="1" ht="17.25" customHeight="1">
      <c r="A13" s="1445" t="s">
        <v>232</v>
      </c>
      <c r="B13" s="1449"/>
      <c r="C13" s="1446">
        <v>0</v>
      </c>
      <c r="D13" s="1450">
        <v>1577325294</v>
      </c>
      <c r="E13" s="1446"/>
      <c r="F13" s="1446">
        <v>0</v>
      </c>
      <c r="G13" s="1446">
        <f>2030285926-1591574981</f>
        <v>438710945</v>
      </c>
      <c r="H13" s="1446"/>
      <c r="I13" s="1446"/>
      <c r="J13" s="1447"/>
      <c r="K13" s="1448">
        <f t="shared" si="0"/>
        <v>2016036239</v>
      </c>
      <c r="L13" s="897"/>
      <c r="M13" s="734"/>
    </row>
    <row r="14" spans="1:19" s="730" customFormat="1" ht="17.25" customHeight="1">
      <c r="A14" s="1445" t="s">
        <v>752</v>
      </c>
      <c r="B14" s="1446"/>
      <c r="C14" s="1446"/>
      <c r="D14" s="1446"/>
      <c r="E14" s="1446"/>
      <c r="F14" s="1446"/>
      <c r="G14" s="1446"/>
      <c r="H14" s="1446"/>
      <c r="I14" s="1446">
        <v>0</v>
      </c>
      <c r="J14" s="1447"/>
      <c r="K14" s="1448">
        <f t="shared" si="0"/>
        <v>0</v>
      </c>
      <c r="M14" s="728"/>
    </row>
    <row r="15" spans="1:19" s="730" customFormat="1" ht="17.25" customHeight="1">
      <c r="A15" s="1445" t="s">
        <v>1310</v>
      </c>
      <c r="B15" s="1446"/>
      <c r="C15" s="1446"/>
      <c r="D15" s="1446"/>
      <c r="E15" s="1446"/>
      <c r="F15" s="1446"/>
      <c r="G15" s="1446"/>
      <c r="H15" s="1446"/>
      <c r="I15" s="1446">
        <v>0</v>
      </c>
      <c r="J15" s="1447"/>
      <c r="K15" s="1448">
        <f t="shared" si="0"/>
        <v>0</v>
      </c>
      <c r="M15" s="735"/>
      <c r="N15" s="577"/>
    </row>
    <row r="16" spans="1:19" s="730" customFormat="1" ht="17.25" customHeight="1">
      <c r="A16" s="1445" t="s">
        <v>235</v>
      </c>
      <c r="B16" s="1446"/>
      <c r="C16" s="1446"/>
      <c r="D16" s="1450">
        <v>0</v>
      </c>
      <c r="E16" s="1446"/>
      <c r="F16" s="1446"/>
      <c r="G16" s="1446"/>
      <c r="H16" s="1446"/>
      <c r="I16" s="1446">
        <f>-(23123698180-20323553788)</f>
        <v>-2800144392</v>
      </c>
      <c r="J16" s="1447"/>
      <c r="K16" s="1448">
        <f t="shared" si="0"/>
        <v>-2800144392</v>
      </c>
      <c r="M16" s="736"/>
      <c r="N16" s="737"/>
      <c r="O16" s="576"/>
    </row>
    <row r="17" spans="1:14" s="730" customFormat="1" ht="5.25" customHeight="1">
      <c r="A17" s="1445"/>
      <c r="B17" s="1451"/>
      <c r="C17" s="1446"/>
      <c r="D17" s="1446"/>
      <c r="E17" s="1446"/>
      <c r="F17" s="1446"/>
      <c r="G17" s="1446"/>
      <c r="H17" s="1446"/>
      <c r="I17" s="1450"/>
      <c r="J17" s="1452"/>
      <c r="K17" s="1448">
        <f t="shared" si="0"/>
        <v>0</v>
      </c>
      <c r="N17" s="738"/>
    </row>
    <row r="18" spans="1:14" s="740" customFormat="1" ht="17.25" customHeight="1">
      <c r="A18" s="1453" t="s">
        <v>245</v>
      </c>
      <c r="B18" s="1454">
        <f>B10+B11+B12+B13-B14-B15-B16</f>
        <v>111144720000</v>
      </c>
      <c r="C18" s="1454">
        <f t="shared" ref="C18:H18" si="1">C10+C11+C12+C13-C14-C15-C16</f>
        <v>25412622500</v>
      </c>
      <c r="D18" s="1454">
        <f t="shared" si="1"/>
        <v>0</v>
      </c>
      <c r="E18" s="1454">
        <f t="shared" si="1"/>
        <v>0</v>
      </c>
      <c r="F18" s="1454">
        <f t="shared" si="1"/>
        <v>7209778043</v>
      </c>
      <c r="G18" s="1454">
        <f t="shared" si="1"/>
        <v>2030285926</v>
      </c>
      <c r="H18" s="1454">
        <f t="shared" si="1"/>
        <v>213538854</v>
      </c>
      <c r="I18" s="1454">
        <f>I10+I11+I12+I13+I14+I15+I16</f>
        <v>20323553788</v>
      </c>
      <c r="J18" s="1454">
        <f>J10+J11+J12+J13-J14-J15-J16</f>
        <v>0</v>
      </c>
      <c r="K18" s="1455">
        <f>SUM(B18:J18)</f>
        <v>166334499111</v>
      </c>
      <c r="L18" s="739">
        <f>K18-BS!N101</f>
        <v>0</v>
      </c>
    </row>
    <row r="19" spans="1:14" s="740" customFormat="1" ht="17.25" customHeight="1">
      <c r="A19" s="1453" t="s">
        <v>1581</v>
      </c>
      <c r="B19" s="1437">
        <f>B18</f>
        <v>111144720000</v>
      </c>
      <c r="C19" s="1437">
        <f t="shared" ref="C19:I19" si="2">C18</f>
        <v>25412622500</v>
      </c>
      <c r="D19" s="1437">
        <f t="shared" si="2"/>
        <v>0</v>
      </c>
      <c r="E19" s="1437">
        <f t="shared" si="2"/>
        <v>0</v>
      </c>
      <c r="F19" s="1437">
        <f t="shared" si="2"/>
        <v>7209778043</v>
      </c>
      <c r="G19" s="1437">
        <f t="shared" si="2"/>
        <v>2030285926</v>
      </c>
      <c r="H19" s="1437">
        <f t="shared" si="2"/>
        <v>213538854</v>
      </c>
      <c r="I19" s="1437">
        <f t="shared" si="2"/>
        <v>20323553788</v>
      </c>
      <c r="J19" s="1439"/>
      <c r="K19" s="1455">
        <f>SUM(B19:J19)</f>
        <v>166334499111</v>
      </c>
      <c r="L19" s="739"/>
    </row>
    <row r="20" spans="1:14" s="730" customFormat="1" ht="17.25" customHeight="1">
      <c r="A20" s="1445" t="s">
        <v>442</v>
      </c>
      <c r="B20" s="1446"/>
      <c r="C20" s="1446"/>
      <c r="D20" s="1446"/>
      <c r="E20" s="1454">
        <v>0</v>
      </c>
      <c r="F20" s="1454">
        <v>0</v>
      </c>
      <c r="G20" s="1446"/>
      <c r="H20" s="1446"/>
      <c r="I20" s="1446">
        <v>0</v>
      </c>
      <c r="J20" s="1447"/>
      <c r="K20" s="1448">
        <f t="shared" ref="K20:K27" si="3">SUM(B20:J20)</f>
        <v>0</v>
      </c>
    </row>
    <row r="21" spans="1:14" s="730" customFormat="1" ht="17.25" customHeight="1">
      <c r="A21" s="1445" t="s">
        <v>443</v>
      </c>
      <c r="B21" s="1446"/>
      <c r="C21" s="1446"/>
      <c r="D21" s="1446"/>
      <c r="E21" s="1446"/>
      <c r="F21" s="1446"/>
      <c r="G21" s="1446"/>
      <c r="H21" s="1446"/>
      <c r="I21" s="1446">
        <f>PI!M33</f>
        <v>3838269695</v>
      </c>
      <c r="J21" s="1446"/>
      <c r="K21" s="1448">
        <f t="shared" si="3"/>
        <v>3838269695</v>
      </c>
    </row>
    <row r="22" spans="1:14" s="730" customFormat="1" ht="17.25" customHeight="1">
      <c r="A22" s="1445" t="s">
        <v>232</v>
      </c>
      <c r="B22" s="1446"/>
      <c r="C22" s="1446"/>
      <c r="D22" s="1450">
        <v>0</v>
      </c>
      <c r="E22" s="1446"/>
      <c r="F22" s="1446"/>
      <c r="G22" s="1446">
        <v>0</v>
      </c>
      <c r="H22" s="1446"/>
      <c r="I22" s="1446"/>
      <c r="J22" s="1447"/>
      <c r="K22" s="1448">
        <f t="shared" si="3"/>
        <v>0</v>
      </c>
    </row>
    <row r="23" spans="1:14" s="730" customFormat="1" ht="17.25" customHeight="1">
      <c r="A23" s="1445" t="s">
        <v>444</v>
      </c>
      <c r="B23" s="1446"/>
      <c r="C23" s="1446"/>
      <c r="D23" s="1446"/>
      <c r="E23" s="1446"/>
      <c r="F23" s="1446"/>
      <c r="G23" s="1446"/>
      <c r="H23" s="1446"/>
      <c r="I23" s="1446"/>
      <c r="J23" s="1447"/>
      <c r="K23" s="1448">
        <f t="shared" si="3"/>
        <v>0</v>
      </c>
    </row>
    <row r="24" spans="1:14" s="730" customFormat="1" ht="17.25" customHeight="1">
      <c r="A24" s="1445" t="s">
        <v>445</v>
      </c>
      <c r="B24" s="1446"/>
      <c r="C24" s="1446"/>
      <c r="D24" s="1446"/>
      <c r="E24" s="1446"/>
      <c r="F24" s="1446"/>
      <c r="G24" s="1446"/>
      <c r="H24" s="1446"/>
      <c r="I24" s="1446"/>
      <c r="J24" s="1446"/>
      <c r="K24" s="1448">
        <f t="shared" si="3"/>
        <v>0</v>
      </c>
    </row>
    <row r="25" spans="1:14" s="730" customFormat="1" ht="17.25" customHeight="1">
      <c r="A25" s="1445" t="s">
        <v>305</v>
      </c>
      <c r="B25" s="1446"/>
      <c r="C25" s="1446"/>
      <c r="D25" s="1450"/>
      <c r="E25" s="1446"/>
      <c r="F25" s="1446"/>
      <c r="G25" s="1446"/>
      <c r="H25" s="1446"/>
      <c r="I25" s="1446"/>
      <c r="J25" s="1446">
        <v>0</v>
      </c>
      <c r="K25" s="1448">
        <f t="shared" si="3"/>
        <v>0</v>
      </c>
      <c r="L25" s="741"/>
    </row>
    <row r="26" spans="1:14" s="723" customFormat="1" ht="6" hidden="1" customHeight="1">
      <c r="A26" s="1456"/>
      <c r="B26" s="1457"/>
      <c r="C26" s="1457"/>
      <c r="D26" s="1457"/>
      <c r="E26" s="1457"/>
      <c r="F26" s="1446"/>
      <c r="G26" s="1446"/>
      <c r="H26" s="1457"/>
      <c r="I26" s="1458"/>
      <c r="J26" s="1459"/>
      <c r="K26" s="1448">
        <f t="shared" si="3"/>
        <v>0</v>
      </c>
      <c r="L26" s="742"/>
    </row>
    <row r="27" spans="1:14" s="740" customFormat="1" ht="15.75" thickBot="1">
      <c r="A27" s="1460" t="s">
        <v>1582</v>
      </c>
      <c r="B27" s="1461">
        <f t="shared" ref="B27:J27" si="4">B19+B20+B21+B22-B23-B24-B25</f>
        <v>111144720000</v>
      </c>
      <c r="C27" s="1461">
        <f>C19+C20+C21+C22-C23-C24-C25</f>
        <v>25412622500</v>
      </c>
      <c r="D27" s="1461">
        <f t="shared" si="4"/>
        <v>0</v>
      </c>
      <c r="E27" s="1461">
        <f t="shared" si="4"/>
        <v>0</v>
      </c>
      <c r="F27" s="1461">
        <f t="shared" si="4"/>
        <v>7209778043</v>
      </c>
      <c r="G27" s="1461">
        <f t="shared" si="4"/>
        <v>2030285926</v>
      </c>
      <c r="H27" s="1461">
        <f t="shared" si="4"/>
        <v>213538854</v>
      </c>
      <c r="I27" s="1461">
        <f>I19+I20+I21+I22+I23-I24+I25</f>
        <v>24161823483</v>
      </c>
      <c r="J27" s="1461">
        <f t="shared" si="4"/>
        <v>0</v>
      </c>
      <c r="K27" s="1462">
        <f t="shared" si="3"/>
        <v>170172768806</v>
      </c>
      <c r="L27" s="743">
        <f>K27-BS!L101</f>
        <v>0</v>
      </c>
    </row>
    <row r="28" spans="1:14" s="745" customFormat="1" ht="16.5" thickTop="1">
      <c r="A28" s="744"/>
      <c r="B28" s="744">
        <f>B27-BS!L102</f>
        <v>0</v>
      </c>
      <c r="C28" s="744">
        <f>C27-BS!L103</f>
        <v>0</v>
      </c>
      <c r="D28" s="744">
        <f>D27-BS!L107</f>
        <v>0</v>
      </c>
      <c r="E28" s="744">
        <f>E27-BS!L104</f>
        <v>-213538854</v>
      </c>
      <c r="F28" s="744">
        <f>F27-BS!L108</f>
        <v>0</v>
      </c>
      <c r="G28" s="744">
        <f>G27-BS!L109</f>
        <v>0</v>
      </c>
      <c r="H28" s="744">
        <f>H27-BS!L104</f>
        <v>0</v>
      </c>
      <c r="I28" s="745">
        <f>I27-BS!L111</f>
        <v>0</v>
      </c>
      <c r="J28" s="745">
        <f>J27-BS!L112</f>
        <v>0</v>
      </c>
      <c r="L28" s="746"/>
    </row>
    <row r="29" spans="1:14" ht="16.5" customHeight="1">
      <c r="A29" s="1731"/>
      <c r="B29" s="1731"/>
      <c r="C29" s="1731"/>
      <c r="D29" s="1731"/>
      <c r="E29" s="1731"/>
      <c r="F29" s="1731"/>
      <c r="G29" s="1731"/>
      <c r="H29" s="1731"/>
      <c r="I29" s="1731"/>
      <c r="J29" s="1731"/>
      <c r="K29" s="1731"/>
      <c r="L29" s="746"/>
    </row>
    <row r="30" spans="1:14" ht="6.75" customHeight="1">
      <c r="A30" s="748"/>
      <c r="B30" s="749"/>
      <c r="C30" s="749"/>
      <c r="D30" s="749"/>
      <c r="E30" s="749"/>
      <c r="F30" s="749"/>
      <c r="G30" s="750"/>
      <c r="H30" s="750"/>
    </row>
    <row r="31" spans="1:14" ht="34.5" customHeight="1">
      <c r="A31" s="1732"/>
      <c r="B31" s="1732"/>
      <c r="C31" s="1732"/>
      <c r="D31" s="1732"/>
      <c r="E31" s="1732"/>
      <c r="F31" s="1732"/>
      <c r="G31" s="1732"/>
      <c r="H31" s="1732"/>
      <c r="I31" s="1732"/>
      <c r="J31" s="1732"/>
      <c r="K31" s="1732"/>
    </row>
    <row r="32" spans="1:14">
      <c r="A32" s="748"/>
      <c r="B32" s="749"/>
      <c r="C32" s="749"/>
      <c r="D32" s="749"/>
      <c r="E32" s="749"/>
      <c r="F32" s="749"/>
      <c r="G32" s="750"/>
      <c r="H32" s="750"/>
    </row>
    <row r="33" spans="1:12">
      <c r="A33" s="748"/>
      <c r="B33" s="749"/>
      <c r="C33" s="749"/>
      <c r="D33" s="749"/>
      <c r="E33" s="749"/>
      <c r="F33" s="749"/>
      <c r="G33" s="750"/>
      <c r="H33" s="750"/>
    </row>
    <row r="34" spans="1:12">
      <c r="A34" s="748"/>
      <c r="B34" s="749"/>
      <c r="C34" s="749"/>
      <c r="D34" s="749"/>
      <c r="E34" s="749"/>
      <c r="F34" s="749"/>
      <c r="G34" s="750"/>
      <c r="H34" s="750"/>
    </row>
    <row r="35" spans="1:12">
      <c r="A35" s="748"/>
      <c r="B35" s="749"/>
      <c r="C35" s="749"/>
      <c r="D35" s="749"/>
      <c r="E35" s="749"/>
      <c r="F35" s="749"/>
      <c r="G35" s="750"/>
      <c r="H35" s="750"/>
    </row>
    <row r="36" spans="1:12">
      <c r="A36" s="748"/>
      <c r="B36" s="749"/>
      <c r="C36" s="749"/>
      <c r="D36" s="749"/>
      <c r="E36" s="749"/>
      <c r="F36" s="749"/>
      <c r="G36" s="750"/>
      <c r="H36" s="750"/>
    </row>
    <row r="37" spans="1:12">
      <c r="A37" s="748"/>
      <c r="B37" s="749"/>
      <c r="C37" s="749"/>
      <c r="D37" s="749"/>
      <c r="E37" s="749"/>
      <c r="F37" s="749"/>
      <c r="G37" s="750"/>
      <c r="H37" s="750"/>
    </row>
    <row r="38" spans="1:12">
      <c r="A38" s="748"/>
      <c r="B38" s="749"/>
      <c r="C38" s="749"/>
      <c r="D38" s="749"/>
      <c r="E38" s="749"/>
      <c r="F38" s="749"/>
      <c r="G38" s="750"/>
      <c r="H38" s="750"/>
    </row>
    <row r="39" spans="1:12">
      <c r="A39" s="748"/>
      <c r="B39" s="749"/>
      <c r="C39" s="749"/>
      <c r="D39" s="749"/>
      <c r="E39" s="749"/>
      <c r="F39" s="749"/>
      <c r="G39" s="750"/>
      <c r="H39" s="750"/>
    </row>
    <row r="40" spans="1:12">
      <c r="A40" s="748"/>
      <c r="B40" s="749"/>
      <c r="C40" s="749"/>
      <c r="D40" s="749"/>
      <c r="E40" s="749"/>
      <c r="F40" s="749"/>
      <c r="G40" s="750"/>
      <c r="H40" s="750"/>
    </row>
    <row r="41" spans="1:12">
      <c r="A41" s="748"/>
      <c r="B41" s="749"/>
      <c r="C41" s="749"/>
      <c r="D41" s="749"/>
      <c r="E41" s="749"/>
      <c r="F41" s="749"/>
      <c r="G41" s="750"/>
      <c r="H41" s="750"/>
    </row>
    <row r="42" spans="1:12">
      <c r="A42" s="748"/>
      <c r="B42" s="749"/>
      <c r="C42" s="749"/>
      <c r="D42" s="749"/>
      <c r="E42" s="749"/>
      <c r="F42" s="749"/>
      <c r="G42" s="750"/>
      <c r="H42" s="750"/>
    </row>
    <row r="43" spans="1:12" ht="15.75">
      <c r="A43" s="752"/>
      <c r="B43" s="749"/>
      <c r="C43" s="749"/>
      <c r="D43" s="749"/>
      <c r="E43" s="749"/>
      <c r="F43" s="749"/>
      <c r="G43" s="750"/>
      <c r="H43" s="750"/>
    </row>
    <row r="44" spans="1:12">
      <c r="A44" s="748"/>
      <c r="B44" s="749"/>
      <c r="C44" s="749"/>
      <c r="D44" s="749"/>
      <c r="E44" s="749"/>
      <c r="F44" s="749"/>
      <c r="G44" s="750"/>
      <c r="H44" s="750"/>
    </row>
    <row r="45" spans="1:12" s="718" customFormat="1" ht="15.75">
      <c r="A45" s="752"/>
      <c r="B45" s="753"/>
      <c r="C45" s="753"/>
      <c r="D45" s="753"/>
      <c r="E45" s="753"/>
      <c r="F45" s="753"/>
      <c r="G45" s="754"/>
      <c r="H45" s="754"/>
      <c r="I45" s="754"/>
      <c r="J45" s="754"/>
      <c r="K45" s="754"/>
      <c r="L45" s="754"/>
    </row>
    <row r="51" spans="1:12" s="718" customFormat="1" ht="15.75">
      <c r="B51" s="756"/>
      <c r="C51" s="756"/>
      <c r="D51" s="756"/>
      <c r="E51" s="756"/>
      <c r="F51" s="756"/>
      <c r="G51" s="754"/>
      <c r="H51" s="754"/>
      <c r="I51" s="754"/>
      <c r="J51" s="754"/>
      <c r="K51" s="754"/>
      <c r="L51" s="754"/>
    </row>
    <row r="52" spans="1:12" s="718" customFormat="1" ht="15.75">
      <c r="B52" s="756"/>
      <c r="C52" s="756"/>
      <c r="D52" s="756"/>
      <c r="E52" s="756"/>
      <c r="F52" s="756"/>
      <c r="G52" s="754"/>
      <c r="H52" s="754"/>
      <c r="I52" s="754"/>
      <c r="J52" s="754"/>
      <c r="K52" s="754"/>
      <c r="L52" s="754"/>
    </row>
    <row r="54" spans="1:12" s="718" customFormat="1" ht="15.75">
      <c r="A54" s="752"/>
      <c r="B54" s="753"/>
      <c r="C54" s="753"/>
      <c r="D54" s="753"/>
      <c r="E54" s="753"/>
      <c r="F54" s="753"/>
      <c r="G54" s="754"/>
      <c r="H54" s="754"/>
      <c r="I54" s="754"/>
      <c r="J54" s="754"/>
      <c r="K54" s="754"/>
      <c r="L54" s="754"/>
    </row>
    <row r="55" spans="1:12" s="718" customFormat="1" ht="15.75">
      <c r="A55" s="752"/>
      <c r="B55" s="753"/>
      <c r="C55" s="753"/>
      <c r="D55" s="753"/>
      <c r="E55" s="753"/>
      <c r="F55" s="753"/>
      <c r="G55" s="754"/>
      <c r="H55" s="754"/>
      <c r="I55" s="754"/>
      <c r="J55" s="754"/>
      <c r="K55" s="754"/>
      <c r="L55" s="754"/>
    </row>
    <row r="56" spans="1:12">
      <c r="A56" s="748"/>
      <c r="B56" s="749"/>
    </row>
    <row r="57" spans="1:12">
      <c r="A57" s="748"/>
      <c r="B57" s="749"/>
    </row>
    <row r="58" spans="1:12">
      <c r="A58" s="748"/>
      <c r="B58" s="749"/>
    </row>
    <row r="59" spans="1:12">
      <c r="A59" s="748"/>
      <c r="B59" s="749"/>
    </row>
    <row r="60" spans="1:12">
      <c r="A60" s="748"/>
      <c r="B60" s="749"/>
    </row>
    <row r="61" spans="1:12">
      <c r="A61" s="757"/>
      <c r="B61" s="749"/>
    </row>
    <row r="62" spans="1:12">
      <c r="A62" s="757"/>
      <c r="B62" s="749"/>
    </row>
    <row r="63" spans="1:12">
      <c r="A63" s="757"/>
      <c r="B63" s="749"/>
    </row>
    <row r="64" spans="1:12">
      <c r="A64" s="757"/>
      <c r="B64" s="749"/>
    </row>
    <row r="65" spans="1:12">
      <c r="A65" s="748"/>
      <c r="B65" s="749"/>
    </row>
    <row r="66" spans="1:12">
      <c r="A66" s="748"/>
      <c r="B66" s="749"/>
    </row>
    <row r="67" spans="1:12">
      <c r="A67" s="748"/>
      <c r="B67" s="749"/>
    </row>
    <row r="68" spans="1:12" ht="15.75">
      <c r="A68" s="758"/>
      <c r="B68" s="759"/>
      <c r="C68" s="759"/>
      <c r="D68" s="759"/>
      <c r="E68" s="759"/>
      <c r="F68" s="759"/>
    </row>
    <row r="70" spans="1:12" s="718" customFormat="1" ht="15.75">
      <c r="A70" s="752"/>
      <c r="B70" s="753"/>
      <c r="C70" s="753"/>
      <c r="D70" s="753"/>
      <c r="E70" s="753"/>
      <c r="F70" s="753"/>
      <c r="G70" s="754"/>
      <c r="H70" s="754"/>
      <c r="I70" s="754"/>
      <c r="J70" s="754"/>
      <c r="K70" s="754"/>
      <c r="L70" s="754"/>
    </row>
    <row r="71" spans="1:12" s="718" customFormat="1" ht="15.75">
      <c r="A71" s="752"/>
      <c r="B71" s="753"/>
      <c r="C71" s="753"/>
      <c r="D71" s="753"/>
      <c r="E71" s="753"/>
      <c r="F71" s="753"/>
      <c r="G71" s="754"/>
      <c r="H71" s="754"/>
      <c r="I71" s="754"/>
      <c r="J71" s="754"/>
      <c r="K71" s="754"/>
      <c r="L71" s="754"/>
    </row>
    <row r="73" spans="1:12">
      <c r="A73" s="748"/>
      <c r="B73" s="749"/>
    </row>
    <row r="74" spans="1:12">
      <c r="A74" s="748"/>
      <c r="B74" s="749"/>
    </row>
    <row r="75" spans="1:12">
      <c r="A75" s="748"/>
      <c r="B75" s="749"/>
    </row>
    <row r="76" spans="1:12">
      <c r="A76" s="748"/>
      <c r="B76" s="749"/>
    </row>
    <row r="77" spans="1:12">
      <c r="A77" s="748"/>
      <c r="B77" s="749"/>
    </row>
    <row r="78" spans="1:12">
      <c r="A78" s="748"/>
      <c r="B78" s="749"/>
    </row>
    <row r="79" spans="1:12">
      <c r="A79" s="748"/>
      <c r="B79" s="749"/>
    </row>
    <row r="80" spans="1:12" s="718" customFormat="1" ht="15.75">
      <c r="A80" s="752"/>
      <c r="B80" s="759"/>
      <c r="C80" s="756"/>
      <c r="D80" s="756"/>
      <c r="E80" s="756"/>
      <c r="F80" s="756"/>
      <c r="G80" s="754"/>
      <c r="H80" s="754"/>
      <c r="I80" s="754"/>
      <c r="J80" s="754"/>
      <c r="K80" s="754"/>
      <c r="L80" s="754"/>
    </row>
    <row r="81" spans="1:12" ht="15.75">
      <c r="A81" s="748"/>
      <c r="B81" s="759"/>
    </row>
    <row r="82" spans="1:12" s="718" customFormat="1" ht="15.75">
      <c r="A82" s="752"/>
      <c r="B82" s="759"/>
      <c r="C82" s="756"/>
      <c r="D82" s="756"/>
      <c r="E82" s="756"/>
      <c r="F82" s="756"/>
      <c r="G82" s="754"/>
      <c r="H82" s="754"/>
      <c r="I82" s="754"/>
      <c r="J82" s="754"/>
      <c r="K82" s="754"/>
      <c r="L82" s="754"/>
    </row>
    <row r="83" spans="1:12">
      <c r="A83" s="748"/>
      <c r="B83" s="749"/>
    </row>
    <row r="84" spans="1:12">
      <c r="A84" s="760"/>
    </row>
    <row r="88" spans="1:12" s="718" customFormat="1" ht="15.75">
      <c r="A88" s="752"/>
      <c r="B88" s="753"/>
      <c r="C88" s="753"/>
      <c r="D88" s="753"/>
      <c r="E88" s="753"/>
      <c r="F88" s="753"/>
      <c r="G88" s="754"/>
      <c r="H88" s="754"/>
      <c r="I88" s="754"/>
      <c r="J88" s="754"/>
      <c r="K88" s="754"/>
      <c r="L88" s="754"/>
    </row>
    <row r="92" spans="1:12">
      <c r="A92" s="761"/>
    </row>
    <row r="94" spans="1:12" s="718" customFormat="1" ht="15.75">
      <c r="B94" s="756"/>
      <c r="C94" s="756"/>
      <c r="D94" s="756"/>
      <c r="E94" s="756"/>
      <c r="F94" s="756"/>
      <c r="G94" s="754"/>
      <c r="H94" s="754"/>
      <c r="I94" s="754"/>
      <c r="J94" s="754"/>
      <c r="K94" s="754"/>
      <c r="L94" s="754"/>
    </row>
    <row r="96" spans="1:12" s="718" customFormat="1" ht="15.75">
      <c r="A96" s="752"/>
      <c r="B96" s="753"/>
      <c r="C96" s="753"/>
      <c r="D96" s="753"/>
      <c r="E96" s="753"/>
      <c r="F96" s="753"/>
      <c r="G96" s="754"/>
      <c r="H96" s="754"/>
      <c r="I96" s="754"/>
      <c r="J96" s="754"/>
      <c r="K96" s="754"/>
      <c r="L96" s="754"/>
    </row>
    <row r="100" spans="1:12">
      <c r="A100" s="762"/>
    </row>
    <row r="101" spans="1:12">
      <c r="A101" s="762"/>
    </row>
    <row r="102" spans="1:12">
      <c r="A102" s="762"/>
    </row>
    <row r="103" spans="1:12">
      <c r="A103" s="763"/>
    </row>
    <row r="104" spans="1:12">
      <c r="A104" s="763"/>
    </row>
    <row r="105" spans="1:12">
      <c r="A105" s="763"/>
    </row>
    <row r="107" spans="1:12" s="718" customFormat="1" ht="15.75">
      <c r="A107" s="764"/>
      <c r="B107" s="756"/>
      <c r="C107" s="756"/>
      <c r="D107" s="756"/>
      <c r="E107" s="756"/>
      <c r="F107" s="756"/>
      <c r="G107" s="754"/>
      <c r="H107" s="754"/>
      <c r="I107" s="754"/>
      <c r="J107" s="754"/>
      <c r="K107" s="754"/>
      <c r="L107" s="754"/>
    </row>
    <row r="109" spans="1:12" s="718" customFormat="1" ht="15.75">
      <c r="B109" s="756"/>
      <c r="C109" s="756"/>
      <c r="D109" s="756"/>
      <c r="E109" s="756"/>
      <c r="F109" s="756"/>
      <c r="G109" s="754"/>
      <c r="H109" s="754"/>
      <c r="I109" s="754"/>
      <c r="J109" s="754"/>
      <c r="K109" s="754"/>
      <c r="L109" s="754"/>
    </row>
    <row r="110" spans="1:12" s="718" customFormat="1" ht="15.75">
      <c r="B110" s="756"/>
      <c r="C110" s="756"/>
      <c r="D110" s="756"/>
      <c r="E110" s="756"/>
      <c r="F110" s="756"/>
      <c r="G110" s="754"/>
      <c r="H110" s="754"/>
      <c r="I110" s="754"/>
      <c r="J110" s="754"/>
      <c r="K110" s="754"/>
      <c r="L110" s="754"/>
    </row>
    <row r="112" spans="1:12" ht="15.75">
      <c r="A112" s="718"/>
    </row>
    <row r="115" spans="1:12" ht="15.75">
      <c r="A115" s="718"/>
    </row>
    <row r="117" spans="1:12" s="718" customFormat="1" ht="15.75">
      <c r="A117" s="752"/>
      <c r="B117" s="753"/>
      <c r="C117" s="753"/>
      <c r="D117" s="753"/>
      <c r="E117" s="753"/>
      <c r="F117" s="753"/>
      <c r="G117" s="754"/>
      <c r="H117" s="754"/>
      <c r="I117" s="754"/>
      <c r="J117" s="754"/>
      <c r="K117" s="754"/>
      <c r="L117" s="754"/>
    </row>
    <row r="121" spans="1:12">
      <c r="A121" s="761"/>
    </row>
    <row r="122" spans="1:12">
      <c r="A122" s="761"/>
    </row>
    <row r="123" spans="1:12" ht="15.75">
      <c r="A123" s="718"/>
    </row>
    <row r="125" spans="1:12" s="718" customFormat="1" ht="15.75">
      <c r="B125" s="756"/>
      <c r="C125" s="756"/>
      <c r="D125" s="756"/>
      <c r="E125" s="756"/>
      <c r="F125" s="756"/>
      <c r="G125" s="754"/>
      <c r="H125" s="754"/>
      <c r="I125" s="754"/>
      <c r="J125" s="754"/>
      <c r="K125" s="754"/>
      <c r="L125" s="754"/>
    </row>
    <row r="126" spans="1:12" s="718" customFormat="1" ht="15.75">
      <c r="B126" s="756"/>
      <c r="C126" s="756"/>
      <c r="D126" s="756"/>
      <c r="E126" s="756"/>
      <c r="F126" s="756"/>
      <c r="G126" s="754"/>
      <c r="H126" s="754"/>
      <c r="I126" s="754"/>
      <c r="J126" s="754"/>
      <c r="K126" s="754"/>
      <c r="L126" s="754"/>
    </row>
    <row r="127" spans="1:12" s="718" customFormat="1" ht="15.75">
      <c r="B127" s="756"/>
      <c r="C127" s="756"/>
      <c r="D127" s="756"/>
      <c r="E127" s="756"/>
      <c r="F127" s="756"/>
      <c r="G127" s="754"/>
      <c r="H127" s="754"/>
      <c r="I127" s="754"/>
      <c r="J127" s="754"/>
      <c r="K127" s="754"/>
      <c r="L127" s="754"/>
    </row>
    <row r="129" spans="2:12" s="718" customFormat="1" ht="15.75">
      <c r="B129" s="756"/>
      <c r="C129" s="756"/>
      <c r="D129" s="756"/>
      <c r="E129" s="756"/>
      <c r="F129" s="756"/>
      <c r="G129" s="754"/>
      <c r="H129" s="754"/>
      <c r="I129" s="754"/>
      <c r="J129" s="754"/>
      <c r="K129" s="754"/>
      <c r="L129" s="754"/>
    </row>
    <row r="131" spans="2:12" s="718" customFormat="1" ht="15.75">
      <c r="B131" s="753"/>
      <c r="C131" s="753"/>
      <c r="D131" s="753"/>
      <c r="E131" s="753"/>
      <c r="F131" s="753"/>
      <c r="G131" s="754"/>
      <c r="H131" s="754"/>
      <c r="I131" s="754"/>
      <c r="J131" s="754"/>
      <c r="K131" s="754"/>
      <c r="L131" s="754"/>
    </row>
    <row r="139" spans="2:12" s="718" customFormat="1" ht="15.75">
      <c r="B139" s="753"/>
      <c r="C139" s="753"/>
      <c r="D139" s="753"/>
      <c r="E139" s="753"/>
      <c r="F139" s="753"/>
      <c r="G139" s="754"/>
      <c r="H139" s="754"/>
      <c r="I139" s="754"/>
      <c r="J139" s="754"/>
      <c r="K139" s="754"/>
      <c r="L139" s="754"/>
    </row>
    <row r="146" spans="2:12" s="718" customFormat="1" ht="15.75">
      <c r="B146" s="756"/>
      <c r="C146" s="756"/>
      <c r="D146" s="756"/>
      <c r="E146" s="756"/>
      <c r="F146" s="756"/>
      <c r="G146" s="754"/>
      <c r="H146" s="754"/>
      <c r="I146" s="754"/>
      <c r="J146" s="754"/>
      <c r="K146" s="754"/>
      <c r="L146" s="754"/>
    </row>
    <row r="148" spans="2:12" s="718" customFormat="1" ht="15.75">
      <c r="B148" s="753"/>
      <c r="C148" s="753"/>
      <c r="D148" s="753"/>
      <c r="E148" s="753"/>
      <c r="F148" s="753"/>
      <c r="G148" s="754"/>
      <c r="H148" s="754"/>
      <c r="I148" s="754"/>
      <c r="J148" s="754"/>
      <c r="K148" s="754"/>
      <c r="L148" s="754"/>
    </row>
    <row r="151" spans="2:12">
      <c r="H151" s="751">
        <v>10843009</v>
      </c>
    </row>
    <row r="152" spans="2:12">
      <c r="H152" s="751">
        <v>29961315</v>
      </c>
    </row>
    <row r="153" spans="2:12" s="718" customFormat="1" ht="15.75">
      <c r="B153" s="756"/>
      <c r="C153" s="756"/>
      <c r="D153" s="756"/>
      <c r="E153" s="756"/>
      <c r="F153" s="756"/>
      <c r="G153" s="754"/>
      <c r="H153" s="754">
        <v>10085465</v>
      </c>
      <c r="I153" s="754"/>
      <c r="J153" s="754"/>
      <c r="K153" s="754"/>
      <c r="L153" s="754"/>
    </row>
    <row r="154" spans="2:12">
      <c r="H154" s="751">
        <v>322394</v>
      </c>
    </row>
    <row r="155" spans="2:12" s="718" customFormat="1" ht="15.75">
      <c r="B155" s="753"/>
      <c r="C155" s="753"/>
      <c r="D155" s="753"/>
      <c r="E155" s="753"/>
      <c r="F155" s="753"/>
      <c r="G155" s="754"/>
      <c r="H155" s="754">
        <v>14433261</v>
      </c>
      <c r="I155" s="754"/>
      <c r="J155" s="754"/>
      <c r="K155" s="754"/>
      <c r="L155" s="754"/>
    </row>
    <row r="156" spans="2:12" s="718" customFormat="1" ht="15.75">
      <c r="B156" s="756"/>
      <c r="C156" s="756"/>
      <c r="D156" s="756"/>
      <c r="E156" s="756"/>
      <c r="F156" s="756"/>
      <c r="G156" s="754"/>
      <c r="H156" s="754"/>
      <c r="I156" s="754"/>
      <c r="J156" s="754"/>
      <c r="K156" s="754"/>
      <c r="L156" s="754"/>
    </row>
    <row r="157" spans="2:12" s="718" customFormat="1" ht="15.75">
      <c r="B157" s="756"/>
      <c r="C157" s="756"/>
      <c r="D157" s="756"/>
      <c r="E157" s="756"/>
      <c r="F157" s="756"/>
      <c r="G157" s="754"/>
      <c r="H157" s="754"/>
      <c r="I157" s="754"/>
      <c r="J157" s="754"/>
      <c r="K157" s="754"/>
      <c r="L157" s="754"/>
    </row>
    <row r="167" spans="2:12" s="718" customFormat="1" ht="15.75">
      <c r="B167" s="753"/>
      <c r="C167" s="753"/>
      <c r="D167" s="753"/>
      <c r="E167" s="753"/>
      <c r="F167" s="753"/>
      <c r="G167" s="754"/>
      <c r="H167" s="754"/>
      <c r="I167" s="754"/>
      <c r="J167" s="754"/>
      <c r="K167" s="754"/>
      <c r="L167" s="754"/>
    </row>
    <row r="168" spans="2:12" s="718" customFormat="1" ht="15.75">
      <c r="B168" s="756"/>
      <c r="C168" s="756"/>
      <c r="D168" s="756"/>
      <c r="E168" s="756"/>
      <c r="F168" s="756"/>
      <c r="G168" s="754"/>
      <c r="H168" s="754"/>
      <c r="I168" s="754"/>
      <c r="J168" s="754"/>
      <c r="K168" s="754"/>
      <c r="L168" s="754"/>
    </row>
    <row r="172" spans="2:12" s="718" customFormat="1" ht="15.75">
      <c r="B172" s="756"/>
      <c r="C172" s="756"/>
      <c r="D172" s="756"/>
      <c r="E172" s="756"/>
      <c r="F172" s="756"/>
      <c r="G172" s="754"/>
      <c r="H172" s="754"/>
      <c r="I172" s="754"/>
      <c r="J172" s="754"/>
      <c r="K172" s="754"/>
      <c r="L172" s="754"/>
    </row>
    <row r="174" spans="2:12" s="718" customFormat="1" ht="15.75">
      <c r="B174" s="753"/>
      <c r="C174" s="753"/>
      <c r="D174" s="753"/>
      <c r="E174" s="753"/>
      <c r="F174" s="753"/>
      <c r="G174" s="754"/>
      <c r="H174" s="754"/>
      <c r="I174" s="754"/>
      <c r="J174" s="754"/>
      <c r="K174" s="754"/>
      <c r="L174" s="754"/>
    </row>
    <row r="179" spans="2:12" s="718" customFormat="1" ht="15.75">
      <c r="B179" s="756"/>
      <c r="C179" s="756"/>
      <c r="D179" s="756"/>
      <c r="E179" s="756"/>
      <c r="F179" s="756"/>
      <c r="G179" s="754"/>
      <c r="H179" s="754"/>
      <c r="I179" s="754"/>
      <c r="J179" s="754"/>
      <c r="K179" s="754"/>
      <c r="L179" s="754"/>
    </row>
    <row r="181" spans="2:12" s="718" customFormat="1" ht="15.75">
      <c r="B181" s="753"/>
      <c r="C181" s="753"/>
      <c r="D181" s="753"/>
      <c r="E181" s="753"/>
      <c r="F181" s="753"/>
      <c r="G181" s="754"/>
      <c r="H181" s="754"/>
      <c r="I181" s="754"/>
      <c r="J181" s="754"/>
      <c r="K181" s="754"/>
      <c r="L181" s="754"/>
    </row>
    <row r="192" spans="2:12" s="718" customFormat="1" ht="15.75">
      <c r="B192" s="756"/>
      <c r="C192" s="756"/>
      <c r="D192" s="756"/>
      <c r="E192" s="756"/>
      <c r="F192" s="756"/>
      <c r="G192" s="754"/>
      <c r="H192" s="754"/>
      <c r="I192" s="754"/>
      <c r="J192" s="754"/>
      <c r="K192" s="754"/>
      <c r="L192" s="754"/>
    </row>
    <row r="194" spans="2:12" s="718" customFormat="1" ht="15.75">
      <c r="B194" s="753"/>
      <c r="C194" s="753"/>
      <c r="D194" s="753"/>
      <c r="E194" s="753"/>
      <c r="F194" s="753"/>
      <c r="G194" s="754"/>
      <c r="H194" s="754"/>
      <c r="I194" s="754"/>
      <c r="J194" s="754"/>
      <c r="K194" s="754"/>
      <c r="L194" s="754"/>
    </row>
    <row r="200" spans="2:12" ht="15.75">
      <c r="B200" s="756"/>
      <c r="C200" s="756"/>
      <c r="D200" s="756"/>
      <c r="E200" s="756"/>
      <c r="F200" s="756"/>
    </row>
    <row r="202" spans="2:12" s="718" customFormat="1" ht="15.75">
      <c r="B202" s="753"/>
      <c r="C202" s="753"/>
      <c r="D202" s="753"/>
      <c r="E202" s="753"/>
      <c r="F202" s="753"/>
      <c r="G202" s="754"/>
      <c r="H202" s="754"/>
      <c r="I202" s="754"/>
      <c r="J202" s="754"/>
      <c r="K202" s="754"/>
      <c r="L202" s="754"/>
    </row>
    <row r="203" spans="2:12" s="718" customFormat="1" ht="15.75">
      <c r="B203" s="753"/>
      <c r="C203" s="753"/>
      <c r="D203" s="753"/>
      <c r="E203" s="753"/>
      <c r="F203" s="753"/>
      <c r="G203" s="754"/>
      <c r="H203" s="754"/>
      <c r="I203" s="754"/>
      <c r="J203" s="754"/>
      <c r="K203" s="754"/>
      <c r="L203" s="754"/>
    </row>
    <row r="204" spans="2:12" s="718" customFormat="1" ht="15.75">
      <c r="B204" s="756"/>
      <c r="C204" s="756"/>
      <c r="D204" s="756"/>
      <c r="E204" s="756"/>
      <c r="F204" s="756"/>
      <c r="G204" s="754"/>
      <c r="H204" s="754"/>
      <c r="I204" s="754"/>
      <c r="J204" s="754"/>
      <c r="K204" s="754"/>
      <c r="L204" s="754"/>
    </row>
    <row r="209" spans="1:12" s="718" customFormat="1" ht="15.75">
      <c r="B209" s="756"/>
      <c r="C209" s="756"/>
      <c r="D209" s="756"/>
      <c r="E209" s="756"/>
      <c r="F209" s="756"/>
      <c r="G209" s="754"/>
      <c r="H209" s="754"/>
      <c r="I209" s="754"/>
      <c r="J209" s="754"/>
      <c r="K209" s="754"/>
      <c r="L209" s="754"/>
    </row>
    <row r="215" spans="1:12" s="718" customFormat="1" ht="15.75">
      <c r="B215" s="756"/>
      <c r="C215" s="756"/>
      <c r="D215" s="756"/>
      <c r="E215" s="756"/>
      <c r="F215" s="756"/>
      <c r="G215" s="754"/>
      <c r="H215" s="754"/>
      <c r="I215" s="754"/>
      <c r="J215" s="754"/>
      <c r="K215" s="754"/>
      <c r="L215" s="754"/>
    </row>
    <row r="217" spans="1:12">
      <c r="A217" s="762"/>
    </row>
    <row r="218" spans="1:12">
      <c r="A218" s="762"/>
    </row>
    <row r="219" spans="1:12">
      <c r="A219" s="762"/>
    </row>
    <row r="220" spans="1:12" s="718" customFormat="1" ht="15.75">
      <c r="B220" s="756"/>
      <c r="C220" s="756"/>
      <c r="D220" s="756"/>
      <c r="E220" s="756"/>
      <c r="F220" s="756"/>
      <c r="G220" s="754"/>
      <c r="H220" s="754"/>
      <c r="I220" s="754"/>
      <c r="J220" s="754"/>
      <c r="K220" s="754"/>
      <c r="L220" s="754"/>
    </row>
    <row r="221" spans="1:12" s="718" customFormat="1" ht="15.75">
      <c r="B221" s="756"/>
      <c r="C221" s="756"/>
      <c r="D221" s="756"/>
      <c r="E221" s="756"/>
      <c r="F221" s="756"/>
      <c r="G221" s="754"/>
      <c r="H221" s="754"/>
      <c r="I221" s="754"/>
      <c r="J221" s="754"/>
      <c r="K221" s="754"/>
      <c r="L221" s="754"/>
    </row>
    <row r="222" spans="1:12" s="718" customFormat="1" ht="15.75">
      <c r="B222" s="756"/>
      <c r="C222" s="756"/>
      <c r="D222" s="756"/>
      <c r="E222" s="756"/>
      <c r="F222" s="756"/>
      <c r="G222" s="754"/>
      <c r="H222" s="754"/>
      <c r="I222" s="754"/>
      <c r="J222" s="754"/>
      <c r="K222" s="754"/>
      <c r="L222" s="754"/>
    </row>
    <row r="223" spans="1:12" s="718" customFormat="1" ht="15.75">
      <c r="B223" s="756"/>
      <c r="C223" s="756"/>
      <c r="D223" s="756"/>
      <c r="E223" s="756"/>
      <c r="F223" s="756"/>
      <c r="G223" s="754"/>
      <c r="H223" s="754"/>
      <c r="I223" s="754"/>
      <c r="J223" s="754"/>
      <c r="K223" s="754"/>
      <c r="L223" s="754"/>
    </row>
    <row r="224" spans="1:12" s="718" customFormat="1" ht="15.75">
      <c r="B224" s="756"/>
      <c r="C224" s="756"/>
      <c r="D224" s="756"/>
      <c r="E224" s="756"/>
      <c r="F224" s="756"/>
      <c r="G224" s="754"/>
      <c r="H224" s="754"/>
      <c r="I224" s="754"/>
      <c r="J224" s="754"/>
      <c r="K224" s="754"/>
      <c r="L224" s="754"/>
    </row>
    <row r="225" spans="1:12" s="718" customFormat="1" ht="15.75">
      <c r="B225" s="756"/>
      <c r="C225" s="756"/>
      <c r="D225" s="756"/>
      <c r="E225" s="756"/>
      <c r="F225" s="756"/>
      <c r="G225" s="754"/>
      <c r="H225" s="754"/>
      <c r="I225" s="754"/>
      <c r="J225" s="754"/>
      <c r="K225" s="754"/>
      <c r="L225" s="754"/>
    </row>
    <row r="227" spans="1:12" s="718" customFormat="1" ht="30" customHeight="1">
      <c r="B227" s="753"/>
      <c r="C227" s="753"/>
      <c r="D227" s="753"/>
      <c r="E227" s="753"/>
      <c r="F227" s="753"/>
      <c r="G227" s="754"/>
      <c r="H227" s="754"/>
      <c r="I227" s="754"/>
      <c r="J227" s="754"/>
      <c r="K227" s="754"/>
      <c r="L227" s="754"/>
    </row>
    <row r="230" spans="1:12">
      <c r="A230" s="762"/>
    </row>
    <row r="231" spans="1:12">
      <c r="A231" s="762"/>
    </row>
    <row r="232" spans="1:12">
      <c r="A232" s="762"/>
    </row>
    <row r="233" spans="1:12">
      <c r="A233" s="762"/>
    </row>
    <row r="236" spans="1:12" s="718" customFormat="1" ht="15.75">
      <c r="B236" s="753"/>
      <c r="C236" s="753"/>
      <c r="D236" s="753"/>
      <c r="E236" s="753"/>
      <c r="F236" s="753"/>
      <c r="G236" s="754"/>
      <c r="H236" s="754"/>
      <c r="I236" s="754"/>
      <c r="J236" s="754"/>
      <c r="K236" s="754"/>
      <c r="L236" s="754"/>
    </row>
    <row r="240" spans="1:12">
      <c r="A240" s="762"/>
    </row>
    <row r="241" spans="1:12">
      <c r="A241" s="762"/>
    </row>
    <row r="243" spans="1:12">
      <c r="A243" s="762"/>
    </row>
    <row r="244" spans="1:12">
      <c r="A244" s="762"/>
    </row>
    <row r="246" spans="1:12">
      <c r="A246" s="762"/>
    </row>
    <row r="247" spans="1:12">
      <c r="A247" s="762"/>
    </row>
    <row r="249" spans="1:12">
      <c r="A249" s="762"/>
    </row>
    <row r="251" spans="1:12" s="718" customFormat="1" ht="15.75">
      <c r="B251" s="753"/>
      <c r="C251" s="753"/>
      <c r="D251" s="753"/>
      <c r="E251" s="753"/>
      <c r="F251" s="753"/>
      <c r="G251" s="754"/>
      <c r="H251" s="754"/>
      <c r="I251" s="754"/>
      <c r="J251" s="754"/>
      <c r="K251" s="754"/>
      <c r="L251" s="754"/>
    </row>
    <row r="252" spans="1:12" s="718" customFormat="1" ht="15.75">
      <c r="B252" s="756"/>
      <c r="C252" s="756"/>
      <c r="D252" s="756"/>
      <c r="E252" s="756"/>
      <c r="F252" s="756"/>
      <c r="G252" s="754"/>
      <c r="H252" s="754"/>
      <c r="I252" s="754"/>
      <c r="J252" s="754"/>
      <c r="K252" s="754"/>
      <c r="L252" s="754"/>
    </row>
    <row r="253" spans="1:12" s="718" customFormat="1" ht="15.75">
      <c r="B253" s="753"/>
      <c r="C253" s="753"/>
      <c r="D253" s="753"/>
      <c r="E253" s="753"/>
      <c r="F253" s="753"/>
      <c r="G253" s="754"/>
      <c r="H253" s="754"/>
      <c r="I253" s="754"/>
      <c r="J253" s="754"/>
      <c r="K253" s="754"/>
      <c r="L253" s="754"/>
    </row>
    <row r="255" spans="1:12" s="765" customFormat="1">
      <c r="B255" s="766"/>
      <c r="C255" s="766"/>
      <c r="D255" s="766"/>
      <c r="E255" s="766"/>
      <c r="F255" s="766"/>
      <c r="G255" s="767"/>
      <c r="H255" s="767"/>
      <c r="I255" s="767"/>
      <c r="J255" s="767"/>
      <c r="K255" s="767"/>
      <c r="L255" s="767"/>
    </row>
    <row r="256" spans="1:12">
      <c r="A256" s="762"/>
    </row>
    <row r="257" spans="1:12">
      <c r="A257" s="762"/>
    </row>
    <row r="258" spans="1:12" s="765" customFormat="1">
      <c r="B258" s="766"/>
      <c r="C258" s="766"/>
      <c r="D258" s="766"/>
      <c r="E258" s="766"/>
      <c r="F258" s="766"/>
      <c r="G258" s="767"/>
      <c r="H258" s="767"/>
      <c r="I258" s="767"/>
      <c r="J258" s="767"/>
      <c r="K258" s="767"/>
      <c r="L258" s="767"/>
    </row>
    <row r="259" spans="1:12">
      <c r="A259" s="762"/>
    </row>
    <row r="260" spans="1:12">
      <c r="A260" s="762"/>
    </row>
    <row r="261" spans="1:12">
      <c r="A261" s="762"/>
    </row>
    <row r="262" spans="1:12">
      <c r="A262" s="762"/>
    </row>
    <row r="263" spans="1:12">
      <c r="A263" s="762"/>
    </row>
    <row r="264" spans="1:12">
      <c r="A264" s="762"/>
    </row>
    <row r="265" spans="1:12" s="765" customFormat="1">
      <c r="B265" s="766"/>
      <c r="C265" s="766"/>
      <c r="D265" s="766"/>
      <c r="E265" s="766"/>
      <c r="F265" s="766"/>
      <c r="G265" s="767"/>
      <c r="H265" s="767"/>
      <c r="I265" s="767"/>
      <c r="J265" s="767"/>
      <c r="K265" s="767"/>
      <c r="L265" s="767"/>
    </row>
    <row r="266" spans="1:12">
      <c r="A266" s="762"/>
    </row>
    <row r="267" spans="1:12">
      <c r="A267" s="762"/>
    </row>
    <row r="269" spans="1:12" s="718" customFormat="1" ht="15.75">
      <c r="B269" s="753"/>
      <c r="C269" s="753"/>
      <c r="D269" s="753"/>
      <c r="E269" s="753"/>
      <c r="F269" s="753"/>
      <c r="G269" s="754"/>
      <c r="H269" s="754"/>
      <c r="I269" s="754"/>
      <c r="J269" s="754"/>
      <c r="K269" s="754"/>
      <c r="L269" s="754"/>
    </row>
    <row r="279" spans="2:12" s="718" customFormat="1" ht="15.75">
      <c r="B279" s="756"/>
      <c r="C279" s="756"/>
      <c r="D279" s="756"/>
      <c r="E279" s="756"/>
      <c r="F279" s="756"/>
      <c r="G279" s="754"/>
      <c r="H279" s="754"/>
      <c r="I279" s="754"/>
      <c r="J279" s="754"/>
      <c r="K279" s="754"/>
      <c r="L279" s="754"/>
    </row>
    <row r="281" spans="2:12" s="718" customFormat="1" ht="15.75">
      <c r="B281" s="753"/>
      <c r="C281" s="753"/>
      <c r="D281" s="753"/>
      <c r="E281" s="753"/>
      <c r="F281" s="753"/>
      <c r="G281" s="754"/>
      <c r="H281" s="754"/>
      <c r="I281" s="754"/>
      <c r="J281" s="754"/>
      <c r="K281" s="754"/>
      <c r="L281" s="754"/>
    </row>
    <row r="284" spans="2:12" ht="15.75" customHeight="1"/>
    <row r="288" spans="2:12" s="718" customFormat="1" ht="15.75">
      <c r="B288" s="756"/>
      <c r="C288" s="756"/>
      <c r="D288" s="756"/>
      <c r="E288" s="756"/>
      <c r="F288" s="756"/>
      <c r="G288" s="754"/>
      <c r="H288" s="754"/>
      <c r="I288" s="754"/>
      <c r="J288" s="754"/>
      <c r="K288" s="754"/>
      <c r="L288" s="754"/>
    </row>
    <row r="290" spans="2:12" s="718" customFormat="1" ht="15.75">
      <c r="B290" s="753"/>
      <c r="C290" s="753"/>
      <c r="D290" s="753"/>
      <c r="E290" s="753"/>
      <c r="F290" s="753"/>
      <c r="G290" s="754"/>
      <c r="H290" s="754"/>
      <c r="I290" s="754"/>
      <c r="J290" s="754"/>
      <c r="K290" s="754"/>
      <c r="L290" s="754"/>
    </row>
    <row r="296" spans="2:12" s="718" customFormat="1" ht="15.75">
      <c r="B296" s="756"/>
      <c r="C296" s="756"/>
      <c r="D296" s="756"/>
      <c r="E296" s="756"/>
      <c r="F296" s="756"/>
      <c r="G296" s="754"/>
      <c r="H296" s="754"/>
      <c r="I296" s="754"/>
      <c r="J296" s="754"/>
      <c r="K296" s="754"/>
      <c r="L296" s="754"/>
    </row>
    <row r="298" spans="2:12" s="718" customFormat="1" ht="15.75">
      <c r="B298" s="753"/>
      <c r="C298" s="753"/>
      <c r="D298" s="753"/>
      <c r="E298" s="753"/>
      <c r="F298" s="753"/>
      <c r="G298" s="754"/>
      <c r="H298" s="754"/>
      <c r="I298" s="754"/>
      <c r="J298" s="754"/>
      <c r="K298" s="754"/>
      <c r="L298" s="754"/>
    </row>
    <row r="304" spans="2:12" s="718" customFormat="1" ht="15.75">
      <c r="B304" s="756"/>
      <c r="C304" s="756"/>
      <c r="D304" s="756"/>
      <c r="E304" s="756"/>
      <c r="F304" s="756"/>
      <c r="G304" s="754"/>
      <c r="H304" s="754"/>
      <c r="I304" s="754"/>
      <c r="J304" s="754"/>
      <c r="K304" s="754"/>
      <c r="L304" s="754"/>
    </row>
    <row r="306" spans="1:12" s="718" customFormat="1" ht="15.75">
      <c r="B306" s="753"/>
      <c r="C306" s="753"/>
      <c r="D306" s="753"/>
      <c r="E306" s="753"/>
      <c r="F306" s="753"/>
      <c r="G306" s="754"/>
      <c r="H306" s="754"/>
      <c r="I306" s="754"/>
      <c r="J306" s="754"/>
      <c r="K306" s="754"/>
      <c r="L306" s="754"/>
    </row>
    <row r="309" spans="1:12">
      <c r="A309" s="762"/>
    </row>
    <row r="310" spans="1:12">
      <c r="A310" s="762"/>
    </row>
    <row r="311" spans="1:12">
      <c r="A311" s="762"/>
    </row>
    <row r="313" spans="1:12">
      <c r="A313" s="762"/>
    </row>
    <row r="314" spans="1:12">
      <c r="A314" s="762"/>
    </row>
    <row r="315" spans="1:12">
      <c r="A315" s="762"/>
    </row>
    <row r="320" spans="1:12" s="718" customFormat="1" ht="15.75">
      <c r="B320" s="756"/>
      <c r="C320" s="756"/>
      <c r="D320" s="756"/>
      <c r="E320" s="756"/>
      <c r="F320" s="756"/>
      <c r="G320" s="754"/>
      <c r="H320" s="754"/>
      <c r="I320" s="754"/>
      <c r="J320" s="754"/>
      <c r="K320" s="754"/>
      <c r="L320" s="754"/>
    </row>
    <row r="322" spans="1:12" s="718" customFormat="1" ht="15.75">
      <c r="B322" s="753"/>
      <c r="C322" s="753"/>
      <c r="D322" s="753"/>
      <c r="E322" s="753"/>
      <c r="F322" s="753"/>
      <c r="G322" s="754"/>
      <c r="H322" s="754"/>
      <c r="I322" s="754"/>
      <c r="J322" s="754"/>
      <c r="K322" s="754"/>
      <c r="L322" s="754"/>
    </row>
    <row r="326" spans="1:12">
      <c r="A326" s="762"/>
    </row>
    <row r="327" spans="1:12">
      <c r="A327" s="762"/>
    </row>
  </sheetData>
  <mergeCells count="2">
    <mergeCell ref="A29:K29"/>
    <mergeCell ref="A31:K31"/>
  </mergeCells>
  <phoneticPr fontId="36" type="noConversion"/>
  <printOptions horizontalCentered="1"/>
  <pageMargins left="0.3" right="0.38" top="0.48" bottom="0.75" header="0.32" footer="0.34"/>
  <pageSetup paperSize="9" firstPageNumber="31" orientation="landscape" useFirstPageNumber="1" r:id="rId1"/>
  <headerFooter alignWithMargins="0">
    <oddFooter>&amp;C
&amp;P</oddFooter>
  </headerFooter>
  <legacyDrawing r:id="rId2"/>
</worksheet>
</file>

<file path=xl/worksheets/sheet48.xml><?xml version="1.0" encoding="utf-8"?>
<worksheet xmlns="http://schemas.openxmlformats.org/spreadsheetml/2006/main" xmlns:r="http://schemas.openxmlformats.org/officeDocument/2006/relationships">
  <sheetPr codeName="Sheet18" enableFormatConditionsCalculation="0">
    <tabColor indexed="14"/>
  </sheetPr>
  <dimension ref="A1:R282"/>
  <sheetViews>
    <sheetView tabSelected="1" view="pageBreakPreview" topLeftCell="A114" zoomScaleSheetLayoutView="100" workbookViewId="0">
      <selection activeCell="L105" sqref="L105"/>
    </sheetView>
  </sheetViews>
  <sheetFormatPr defaultRowHeight="18" customHeight="1"/>
  <cols>
    <col min="1" max="1" width="4" style="528" customWidth="1"/>
    <col min="2" max="2" width="19.25" style="521" customWidth="1"/>
    <col min="3" max="3" width="0.875" style="290" customWidth="1"/>
    <col min="4" max="4" width="9.5" style="290" customWidth="1"/>
    <col min="5" max="5" width="1.25" style="290" customWidth="1"/>
    <col min="6" max="6" width="14.125" style="290" customWidth="1"/>
    <col min="7" max="7" width="1.25" style="290" customWidth="1"/>
    <col min="8" max="8" width="15.75" style="160" customWidth="1"/>
    <col min="9" max="9" width="1.375" style="160" customWidth="1"/>
    <col min="10" max="10" width="18.5" style="160" customWidth="1"/>
    <col min="11" max="11" width="0.875" style="290" customWidth="1"/>
    <col min="12" max="12" width="20.75" style="524" bestFit="1" customWidth="1"/>
    <col min="13" max="13" width="1" style="526" customWidth="1"/>
    <col min="14" max="14" width="20.75" style="524" bestFit="1" customWidth="1"/>
    <col min="15" max="15" width="17.875" style="290" bestFit="1" customWidth="1"/>
    <col min="16" max="16" width="14.5" style="290" bestFit="1" customWidth="1"/>
    <col min="17" max="17" width="14.25" style="290" bestFit="1" customWidth="1"/>
    <col min="18" max="18" width="14.25" style="524" bestFit="1" customWidth="1"/>
    <col min="19" max="19" width="18.5" style="290" customWidth="1"/>
    <col min="20" max="16384" width="9" style="290"/>
  </cols>
  <sheetData>
    <row r="1" spans="1:18" s="157" customFormat="1" ht="19.5" customHeight="1">
      <c r="A1" s="1290" t="str">
        <f>BS!A1</f>
        <v>C«ng ty Cæ phÇn §Çu t­ &amp; Th­¬ng m¹i DÇu KhÝ S«ng §µ</v>
      </c>
      <c r="H1" s="158"/>
      <c r="I1" s="158"/>
      <c r="L1" s="518"/>
      <c r="N1" s="518"/>
      <c r="R1" s="518"/>
    </row>
    <row r="2" spans="1:18" s="155" customFormat="1" ht="16.5" customHeight="1">
      <c r="A2" s="1170" t="str">
        <f>BS!A2</f>
        <v>§Þa chØ: TÇng 4, CT3, tßa nhµ Fodacon, ®­êng TrÇn Phó</v>
      </c>
      <c r="H2" s="156"/>
      <c r="I2" s="156"/>
      <c r="J2" s="893" t="s">
        <v>1227</v>
      </c>
      <c r="L2" s="519"/>
      <c r="N2" s="519"/>
      <c r="R2" s="519"/>
    </row>
    <row r="3" spans="1:18" s="155" customFormat="1" ht="16.5" customHeight="1">
      <c r="A3" s="1279" t="s">
        <v>887</v>
      </c>
      <c r="B3" s="153"/>
      <c r="C3" s="153"/>
      <c r="D3" s="153"/>
      <c r="E3" s="153"/>
      <c r="F3" s="153"/>
      <c r="G3" s="153"/>
      <c r="H3" s="154"/>
      <c r="I3" s="154"/>
      <c r="J3" s="1554" t="str">
        <f>BS!N3</f>
        <v>Gi÷a niªn ®é kÕt thóc ngµy 30/06/2013</v>
      </c>
      <c r="L3" s="519"/>
      <c r="N3" s="519"/>
      <c r="R3" s="519"/>
    </row>
    <row r="4" spans="1:18" s="155" customFormat="1" ht="9.75" customHeight="1">
      <c r="B4" s="571"/>
      <c r="H4" s="156"/>
      <c r="I4" s="156"/>
      <c r="J4" s="156"/>
      <c r="L4" s="540"/>
      <c r="M4" s="525"/>
      <c r="N4" s="540"/>
      <c r="O4" s="525"/>
      <c r="P4" s="525"/>
      <c r="Q4" s="525"/>
      <c r="R4" s="518"/>
    </row>
    <row r="5" spans="1:18" s="155" customFormat="1" ht="15.75">
      <c r="A5" s="157" t="s">
        <v>1427</v>
      </c>
      <c r="B5" s="886" t="s">
        <v>420</v>
      </c>
      <c r="C5" s="153"/>
      <c r="D5" s="153"/>
      <c r="E5" s="153"/>
      <c r="F5" s="153"/>
      <c r="H5" s="612" t="s">
        <v>1428</v>
      </c>
      <c r="I5" s="613"/>
      <c r="J5" s="1136" t="s">
        <v>256</v>
      </c>
      <c r="L5" s="540"/>
      <c r="M5" s="525"/>
      <c r="N5" s="540"/>
      <c r="O5" s="525"/>
      <c r="P5" s="525"/>
      <c r="Q5" s="525"/>
      <c r="R5" s="518"/>
    </row>
    <row r="6" spans="1:18" s="155" customFormat="1" ht="19.5" customHeight="1">
      <c r="A6" s="157"/>
      <c r="B6" s="1498" t="s">
        <v>1668</v>
      </c>
      <c r="H6" s="156">
        <v>0</v>
      </c>
      <c r="I6" s="1303"/>
      <c r="J6" s="156">
        <v>30750000000</v>
      </c>
      <c r="L6" s="891"/>
      <c r="M6" s="525"/>
      <c r="N6" s="540"/>
      <c r="O6" s="540"/>
      <c r="P6" s="525"/>
      <c r="Q6" s="525"/>
      <c r="R6" s="518"/>
    </row>
    <row r="7" spans="1:18" s="155" customFormat="1" ht="19.5" customHeight="1">
      <c r="A7" s="157"/>
      <c r="B7" s="1498" t="s">
        <v>1311</v>
      </c>
      <c r="H7" s="1303">
        <v>111144720000</v>
      </c>
      <c r="I7" s="1303"/>
      <c r="J7" s="1303">
        <v>80394720000</v>
      </c>
      <c r="L7" s="540"/>
      <c r="M7" s="525"/>
      <c r="N7" s="540"/>
      <c r="O7" s="540"/>
      <c r="P7" s="525"/>
      <c r="Q7" s="525"/>
      <c r="R7" s="518"/>
    </row>
    <row r="8" spans="1:18" s="155" customFormat="1" ht="7.5" customHeight="1">
      <c r="B8" s="889"/>
      <c r="H8" s="576"/>
      <c r="I8" s="576"/>
      <c r="J8" s="576"/>
      <c r="L8" s="540"/>
      <c r="M8" s="525"/>
      <c r="N8" s="540"/>
      <c r="O8" s="525"/>
      <c r="P8" s="525"/>
      <c r="Q8" s="525"/>
      <c r="R8" s="518"/>
    </row>
    <row r="9" spans="1:18" s="155" customFormat="1" ht="19.5" customHeight="1" thickBot="1">
      <c r="B9" s="578" t="s">
        <v>1571</v>
      </c>
      <c r="C9" s="280"/>
      <c r="D9" s="280"/>
      <c r="E9" s="280"/>
      <c r="F9" s="280"/>
      <c r="G9" s="157"/>
      <c r="H9" s="161">
        <f>SUM(H6:H8)</f>
        <v>111144720000</v>
      </c>
      <c r="I9" s="158"/>
      <c r="J9" s="161">
        <f>SUM(J6:J8)</f>
        <v>111144720000</v>
      </c>
      <c r="L9" s="540">
        <f>H9-BS!L102</f>
        <v>0</v>
      </c>
      <c r="M9" s="525"/>
      <c r="N9" s="540">
        <f>J9-BS!N102</f>
        <v>0</v>
      </c>
      <c r="O9" s="890">
        <f>SUM(O6:O7)</f>
        <v>0</v>
      </c>
      <c r="P9" s="525"/>
      <c r="Q9" s="525"/>
      <c r="R9" s="518"/>
    </row>
    <row r="10" spans="1:18" ht="16.5" thickTop="1">
      <c r="A10" s="290"/>
      <c r="L10" s="522"/>
      <c r="M10" s="523"/>
      <c r="N10" s="522"/>
      <c r="O10" s="523"/>
      <c r="P10" s="523"/>
      <c r="Q10" s="523"/>
    </row>
    <row r="11" spans="1:18" s="155" customFormat="1" ht="15.75" hidden="1">
      <c r="B11" s="571" t="s">
        <v>425</v>
      </c>
      <c r="H11" s="156"/>
      <c r="I11" s="156"/>
      <c r="J11" s="156"/>
      <c r="L11" s="540"/>
      <c r="M11" s="525"/>
      <c r="N11" s="540"/>
      <c r="O11" s="525"/>
      <c r="P11" s="525"/>
      <c r="Q11" s="525"/>
      <c r="R11" s="518"/>
    </row>
    <row r="12" spans="1:18" s="155" customFormat="1" ht="15.75" hidden="1">
      <c r="B12" s="1367"/>
      <c r="H12" s="156"/>
      <c r="I12" s="156"/>
      <c r="J12" s="156"/>
      <c r="L12" s="540"/>
      <c r="M12" s="525"/>
      <c r="N12" s="540"/>
      <c r="O12" s="525"/>
      <c r="P12" s="525"/>
      <c r="Q12" s="525"/>
      <c r="R12" s="518"/>
    </row>
    <row r="13" spans="1:18" s="155" customFormat="1" ht="15.75" hidden="1">
      <c r="B13" s="1372"/>
      <c r="H13" s="156"/>
      <c r="I13" s="156"/>
      <c r="J13" s="156"/>
      <c r="L13" s="540"/>
      <c r="M13" s="525"/>
      <c r="N13" s="540"/>
      <c r="O13" s="525"/>
      <c r="P13" s="525"/>
      <c r="Q13" s="525"/>
      <c r="R13" s="518"/>
    </row>
    <row r="14" spans="1:18" s="155" customFormat="1" ht="15.75">
      <c r="A14" s="157" t="s">
        <v>421</v>
      </c>
      <c r="B14" s="572" t="s">
        <v>1426</v>
      </c>
      <c r="H14" s="156"/>
      <c r="I14" s="156"/>
      <c r="J14" s="156"/>
      <c r="L14" s="540"/>
      <c r="M14" s="525"/>
      <c r="N14" s="540"/>
      <c r="O14" s="525"/>
      <c r="P14" s="525"/>
      <c r="Q14" s="525"/>
      <c r="R14" s="518"/>
    </row>
    <row r="15" spans="1:18" s="155" customFormat="1" ht="15.75">
      <c r="B15" s="571"/>
      <c r="H15" s="612" t="s">
        <v>1428</v>
      </c>
      <c r="I15" s="613"/>
      <c r="J15" s="1136" t="s">
        <v>256</v>
      </c>
      <c r="L15" s="1292" t="s">
        <v>1125</v>
      </c>
      <c r="M15" s="1292"/>
      <c r="N15" s="1292"/>
      <c r="O15" s="525"/>
      <c r="P15" s="525"/>
      <c r="Q15" s="525"/>
      <c r="R15" s="518"/>
    </row>
    <row r="16" spans="1:18" s="157" customFormat="1" ht="15.75">
      <c r="B16" s="572" t="s">
        <v>876</v>
      </c>
      <c r="H16" s="158"/>
      <c r="I16" s="158"/>
      <c r="J16" s="158"/>
      <c r="L16" s="540"/>
      <c r="M16" s="525"/>
      <c r="N16" s="540"/>
      <c r="O16" s="525"/>
      <c r="P16" s="525"/>
      <c r="Q16" s="525"/>
      <c r="R16" s="518"/>
    </row>
    <row r="17" spans="1:18" s="155" customFormat="1" ht="15.75">
      <c r="B17" s="571" t="s">
        <v>846</v>
      </c>
      <c r="H17" s="156">
        <f>H7</f>
        <v>111144720000</v>
      </c>
      <c r="I17" s="156"/>
      <c r="J17" s="156">
        <f>J7</f>
        <v>80394720000</v>
      </c>
      <c r="L17" s="540"/>
      <c r="M17" s="525"/>
      <c r="N17" s="540">
        <f>H17-BS!N102</f>
        <v>0</v>
      </c>
      <c r="O17" s="525"/>
      <c r="P17" s="525"/>
      <c r="Q17" s="525"/>
      <c r="R17" s="518"/>
    </row>
    <row r="18" spans="1:18" s="155" customFormat="1" ht="15.75">
      <c r="B18" s="571" t="s">
        <v>843</v>
      </c>
      <c r="H18" s="156">
        <f>'Note 22_NV'!B20</f>
        <v>0</v>
      </c>
      <c r="I18" s="156"/>
      <c r="J18" s="156">
        <f>'Note 22_NV'!B11</f>
        <v>0</v>
      </c>
      <c r="L18" s="540"/>
      <c r="M18" s="525"/>
      <c r="N18" s="540"/>
      <c r="O18" s="525"/>
      <c r="P18" s="525"/>
      <c r="Q18" s="525"/>
      <c r="R18" s="518"/>
    </row>
    <row r="19" spans="1:18" s="155" customFormat="1" ht="15.75">
      <c r="B19" s="571" t="s">
        <v>844</v>
      </c>
      <c r="H19" s="156">
        <v>0</v>
      </c>
      <c r="I19" s="156"/>
      <c r="J19" s="156">
        <v>0</v>
      </c>
      <c r="L19" s="540"/>
      <c r="M19" s="525"/>
      <c r="N19" s="540"/>
      <c r="O19" s="525"/>
      <c r="P19" s="525"/>
      <c r="Q19" s="525"/>
      <c r="R19" s="518"/>
    </row>
    <row r="20" spans="1:18" s="155" customFormat="1" ht="15.75">
      <c r="B20" s="571" t="s">
        <v>845</v>
      </c>
      <c r="H20" s="156">
        <f>H17+H18-H19</f>
        <v>111144720000</v>
      </c>
      <c r="I20" s="156"/>
      <c r="J20" s="156">
        <f>J17+J18-J19</f>
        <v>80394720000</v>
      </c>
      <c r="L20" s="540"/>
      <c r="M20" s="525"/>
      <c r="N20" s="540">
        <f>H20-BS!L102</f>
        <v>0</v>
      </c>
      <c r="O20" s="525"/>
      <c r="P20" s="525"/>
      <c r="Q20" s="525"/>
      <c r="R20" s="518"/>
    </row>
    <row r="21" spans="1:18" s="157" customFormat="1" ht="15.75">
      <c r="B21" s="572" t="s">
        <v>422</v>
      </c>
      <c r="H21" s="158"/>
      <c r="I21" s="158"/>
      <c r="J21" s="158">
        <f>'Note 22_NV'!I14</f>
        <v>0</v>
      </c>
      <c r="L21" s="891"/>
      <c r="M21" s="525"/>
      <c r="N21" s="540"/>
      <c r="O21" s="525"/>
      <c r="P21" s="525"/>
      <c r="Q21" s="525"/>
      <c r="R21" s="518"/>
    </row>
    <row r="22" spans="1:18" s="155" customFormat="1" ht="7.5" customHeight="1">
      <c r="B22" s="571"/>
      <c r="H22" s="156"/>
      <c r="I22" s="156"/>
      <c r="J22" s="156"/>
      <c r="L22" s="540"/>
      <c r="M22" s="525"/>
      <c r="N22" s="540"/>
      <c r="O22" s="525"/>
      <c r="P22" s="525"/>
      <c r="Q22" s="525"/>
      <c r="R22" s="518"/>
    </row>
    <row r="23" spans="1:18" s="157" customFormat="1" ht="15.75" hidden="1">
      <c r="A23" s="157" t="s">
        <v>423</v>
      </c>
      <c r="B23" s="572" t="s">
        <v>424</v>
      </c>
      <c r="H23" s="887" t="s">
        <v>242</v>
      </c>
      <c r="I23" s="888"/>
      <c r="J23" s="887" t="s">
        <v>243</v>
      </c>
      <c r="L23" s="540"/>
      <c r="M23" s="525"/>
      <c r="N23" s="540"/>
      <c r="O23" s="525"/>
      <c r="P23" s="525"/>
      <c r="Q23" s="525"/>
      <c r="R23" s="518"/>
    </row>
    <row r="24" spans="1:18" s="157" customFormat="1" ht="15.75" hidden="1">
      <c r="B24" s="572" t="s">
        <v>426</v>
      </c>
      <c r="H24" s="158"/>
      <c r="I24" s="158"/>
      <c r="J24" s="158"/>
      <c r="L24" s="540"/>
      <c r="M24" s="525"/>
      <c r="N24" s="540"/>
      <c r="O24" s="525"/>
      <c r="P24" s="525"/>
      <c r="Q24" s="525"/>
      <c r="R24" s="518"/>
    </row>
    <row r="25" spans="1:18" s="525" customFormat="1" ht="15" hidden="1">
      <c r="B25" s="892" t="s">
        <v>427</v>
      </c>
      <c r="H25" s="893"/>
      <c r="I25" s="893"/>
      <c r="J25" s="893"/>
      <c r="L25" s="891"/>
      <c r="N25" s="540"/>
      <c r="R25" s="540"/>
    </row>
    <row r="26" spans="1:18" s="525" customFormat="1" ht="15" hidden="1">
      <c r="B26" s="892" t="s">
        <v>428</v>
      </c>
      <c r="H26" s="893"/>
      <c r="I26" s="893"/>
      <c r="J26" s="893"/>
      <c r="L26" s="540"/>
      <c r="N26" s="540"/>
      <c r="R26" s="540"/>
    </row>
    <row r="27" spans="1:18" s="157" customFormat="1" ht="15.75" hidden="1">
      <c r="B27" s="572" t="s">
        <v>429</v>
      </c>
      <c r="H27" s="158"/>
      <c r="I27" s="158"/>
      <c r="J27" s="158"/>
      <c r="L27" s="540"/>
      <c r="M27" s="525"/>
      <c r="N27" s="540"/>
      <c r="O27" s="525"/>
      <c r="P27" s="525"/>
      <c r="Q27" s="525"/>
      <c r="R27" s="518"/>
    </row>
    <row r="28" spans="1:18" s="155" customFormat="1" ht="6.75" hidden="1" customHeight="1">
      <c r="B28" s="571"/>
      <c r="H28" s="156"/>
      <c r="I28" s="156"/>
      <c r="J28" s="156"/>
      <c r="L28" s="540"/>
      <c r="M28" s="525"/>
      <c r="N28" s="540"/>
      <c r="O28" s="525"/>
      <c r="P28" s="525"/>
      <c r="Q28" s="525"/>
      <c r="R28" s="518"/>
    </row>
    <row r="29" spans="1:18" s="157" customFormat="1" ht="15.75">
      <c r="A29" s="157" t="s">
        <v>423</v>
      </c>
      <c r="B29" s="572" t="s">
        <v>430</v>
      </c>
      <c r="H29" s="612" t="s">
        <v>1428</v>
      </c>
      <c r="I29" s="613"/>
      <c r="J29" s="1136" t="s">
        <v>256</v>
      </c>
      <c r="L29" s="540"/>
      <c r="M29" s="525"/>
      <c r="N29" s="540"/>
      <c r="O29" s="525"/>
      <c r="P29" s="525"/>
      <c r="Q29" s="525"/>
      <c r="R29" s="518"/>
    </row>
    <row r="30" spans="1:18" s="155" customFormat="1" ht="15.75">
      <c r="B30" s="571" t="s">
        <v>431</v>
      </c>
      <c r="H30" s="156">
        <f>H20/10000</f>
        <v>11114472</v>
      </c>
      <c r="I30" s="156"/>
      <c r="J30" s="156">
        <f>J20/10000</f>
        <v>8039472</v>
      </c>
      <c r="L30" s="540"/>
      <c r="M30" s="525"/>
      <c r="N30" s="540"/>
      <c r="O30" s="525"/>
      <c r="P30" s="525"/>
      <c r="Q30" s="525"/>
      <c r="R30" s="518"/>
    </row>
    <row r="31" spans="1:18" s="155" customFormat="1" ht="15.75">
      <c r="B31" s="571" t="s">
        <v>434</v>
      </c>
      <c r="H31" s="156"/>
      <c r="I31" s="156"/>
      <c r="J31" s="156"/>
      <c r="L31" s="540"/>
      <c r="M31" s="525"/>
      <c r="N31" s="540"/>
      <c r="O31" s="525"/>
      <c r="P31" s="525"/>
      <c r="Q31" s="525"/>
      <c r="R31" s="518"/>
    </row>
    <row r="32" spans="1:18" s="561" customFormat="1" ht="15.75">
      <c r="B32" s="894" t="s">
        <v>432</v>
      </c>
      <c r="H32" s="895">
        <f>H20/10000</f>
        <v>11114472</v>
      </c>
      <c r="I32" s="895"/>
      <c r="J32" s="895">
        <f>J20/10000</f>
        <v>8039472</v>
      </c>
      <c r="L32" s="540"/>
      <c r="M32" s="525"/>
      <c r="N32" s="540"/>
      <c r="O32" s="525"/>
      <c r="P32" s="525"/>
      <c r="Q32" s="525"/>
      <c r="R32" s="540"/>
    </row>
    <row r="33" spans="1:18" s="561" customFormat="1" ht="15.75">
      <c r="B33" s="894" t="s">
        <v>433</v>
      </c>
      <c r="H33" s="895">
        <v>0</v>
      </c>
      <c r="I33" s="895"/>
      <c r="J33" s="895">
        <v>0</v>
      </c>
      <c r="L33" s="540"/>
      <c r="M33" s="525"/>
      <c r="N33" s="540"/>
      <c r="O33" s="525"/>
      <c r="P33" s="525"/>
      <c r="Q33" s="525"/>
      <c r="R33" s="540"/>
    </row>
    <row r="34" spans="1:18" s="155" customFormat="1" ht="15.75">
      <c r="B34" s="571" t="s">
        <v>973</v>
      </c>
      <c r="H34" s="156">
        <f>SUM(H35:H36)</f>
        <v>0</v>
      </c>
      <c r="I34" s="156"/>
      <c r="J34" s="156">
        <v>0</v>
      </c>
      <c r="L34" s="540"/>
      <c r="M34" s="525"/>
      <c r="N34" s="540"/>
      <c r="O34" s="525"/>
      <c r="P34" s="525"/>
      <c r="Q34" s="525"/>
      <c r="R34" s="518"/>
    </row>
    <row r="35" spans="1:18" s="561" customFormat="1" ht="15.75" hidden="1">
      <c r="B35" s="894" t="s">
        <v>432</v>
      </c>
      <c r="H35" s="895"/>
      <c r="I35" s="895"/>
      <c r="J35" s="895"/>
      <c r="L35" s="540"/>
      <c r="M35" s="525"/>
      <c r="N35" s="540"/>
      <c r="O35" s="525"/>
      <c r="P35" s="525"/>
      <c r="Q35" s="525"/>
      <c r="R35" s="540"/>
    </row>
    <row r="36" spans="1:18" s="561" customFormat="1" ht="15.75" hidden="1">
      <c r="B36" s="894" t="s">
        <v>433</v>
      </c>
      <c r="H36" s="895"/>
      <c r="I36" s="895"/>
      <c r="J36" s="895"/>
      <c r="L36" s="540"/>
      <c r="M36" s="525"/>
      <c r="N36" s="540"/>
      <c r="O36" s="525"/>
      <c r="P36" s="525"/>
      <c r="Q36" s="525"/>
      <c r="R36" s="540"/>
    </row>
    <row r="37" spans="1:18" s="155" customFormat="1" ht="15.75">
      <c r="B37" s="571" t="s">
        <v>974</v>
      </c>
      <c r="H37" s="156">
        <f>SUM(H38:H39)</f>
        <v>11114472</v>
      </c>
      <c r="I37" s="156"/>
      <c r="J37" s="156">
        <f>SUM(J38:J39)</f>
        <v>8039472</v>
      </c>
      <c r="L37" s="540"/>
      <c r="M37" s="525"/>
      <c r="N37" s="540"/>
      <c r="O37" s="525"/>
      <c r="P37" s="525"/>
      <c r="Q37" s="525"/>
      <c r="R37" s="518"/>
    </row>
    <row r="38" spans="1:18" s="561" customFormat="1" ht="15.75">
      <c r="B38" s="894" t="s">
        <v>432</v>
      </c>
      <c r="H38" s="895">
        <f>H32</f>
        <v>11114472</v>
      </c>
      <c r="I38" s="895"/>
      <c r="J38" s="895">
        <f>J32</f>
        <v>8039472</v>
      </c>
      <c r="L38" s="540"/>
      <c r="M38" s="525"/>
      <c r="N38" s="540"/>
      <c r="O38" s="525"/>
      <c r="P38" s="525"/>
      <c r="Q38" s="525"/>
      <c r="R38" s="540"/>
    </row>
    <row r="39" spans="1:18" s="561" customFormat="1" ht="15.75">
      <c r="B39" s="894" t="s">
        <v>433</v>
      </c>
      <c r="H39" s="895"/>
      <c r="I39" s="895"/>
      <c r="J39" s="895"/>
      <c r="L39" s="540"/>
      <c r="M39" s="525"/>
      <c r="N39" s="540"/>
      <c r="O39" s="525"/>
      <c r="P39" s="525"/>
      <c r="Q39" s="525"/>
      <c r="R39" s="540"/>
    </row>
    <row r="40" spans="1:18" s="155" customFormat="1" ht="11.25" customHeight="1">
      <c r="B40" s="571"/>
      <c r="H40" s="156"/>
      <c r="I40" s="156"/>
      <c r="J40" s="156"/>
      <c r="L40" s="540"/>
      <c r="M40" s="525"/>
      <c r="N40" s="540"/>
      <c r="O40" s="525"/>
      <c r="P40" s="525"/>
      <c r="Q40" s="525"/>
      <c r="R40" s="518"/>
    </row>
    <row r="41" spans="1:18" s="155" customFormat="1" ht="15.75">
      <c r="B41" s="571" t="s">
        <v>975</v>
      </c>
      <c r="H41" s="156">
        <v>10000</v>
      </c>
      <c r="I41" s="156"/>
      <c r="J41" s="156">
        <v>10000</v>
      </c>
      <c r="L41" s="540"/>
      <c r="M41" s="525"/>
      <c r="N41" s="540"/>
      <c r="O41" s="525"/>
      <c r="P41" s="525"/>
      <c r="Q41" s="525"/>
      <c r="R41" s="518"/>
    </row>
    <row r="42" spans="1:18" s="155" customFormat="1" ht="15.75">
      <c r="B42" s="571"/>
      <c r="H42" s="156"/>
      <c r="I42" s="156"/>
      <c r="J42" s="156"/>
      <c r="L42" s="540"/>
      <c r="M42" s="525"/>
      <c r="N42" s="540"/>
      <c r="O42" s="525"/>
      <c r="P42" s="525"/>
      <c r="Q42" s="525"/>
      <c r="R42" s="518"/>
    </row>
    <row r="43" spans="1:18" s="157" customFormat="1" ht="15.75">
      <c r="A43" s="157" t="s">
        <v>976</v>
      </c>
      <c r="B43" s="572" t="s">
        <v>977</v>
      </c>
      <c r="H43" s="612" t="s">
        <v>1428</v>
      </c>
      <c r="I43" s="613"/>
      <c r="J43" s="1136" t="s">
        <v>256</v>
      </c>
      <c r="L43" s="540"/>
      <c r="M43" s="525"/>
      <c r="N43" s="540"/>
      <c r="O43" s="525"/>
      <c r="P43" s="525"/>
      <c r="Q43" s="525"/>
      <c r="R43" s="518"/>
    </row>
    <row r="44" spans="1:18" s="155" customFormat="1" ht="15.75">
      <c r="B44" s="571" t="s">
        <v>858</v>
      </c>
      <c r="H44" s="156">
        <f>'Note 22_NV'!F27</f>
        <v>7209778043</v>
      </c>
      <c r="I44" s="156"/>
      <c r="J44" s="156">
        <f>'Note 22_NV'!F19</f>
        <v>7209778043</v>
      </c>
      <c r="L44" s="540"/>
      <c r="M44" s="525"/>
      <c r="N44" s="540"/>
      <c r="O44" s="525"/>
      <c r="P44" s="525"/>
      <c r="Q44" s="525"/>
      <c r="R44" s="518"/>
    </row>
    <row r="45" spans="1:18" s="155" customFormat="1" ht="15.75">
      <c r="B45" s="571" t="s">
        <v>859</v>
      </c>
      <c r="H45" s="156">
        <f>'Note 22_NV'!G27</f>
        <v>2030285926</v>
      </c>
      <c r="I45" s="156"/>
      <c r="J45" s="156">
        <f>'Note 22_NV'!G19</f>
        <v>2030285926</v>
      </c>
      <c r="L45" s="540"/>
      <c r="M45" s="525"/>
      <c r="N45" s="540"/>
      <c r="O45" s="525"/>
      <c r="P45" s="525"/>
      <c r="Q45" s="525"/>
      <c r="R45" s="518"/>
    </row>
    <row r="46" spans="1:18" s="155" customFormat="1" ht="15.75" hidden="1">
      <c r="B46" s="571"/>
      <c r="H46" s="156"/>
      <c r="I46" s="156"/>
      <c r="J46" s="156"/>
      <c r="L46" s="540"/>
      <c r="M46" s="525"/>
      <c r="N46" s="540"/>
      <c r="O46" s="525"/>
      <c r="P46" s="525"/>
      <c r="Q46" s="525"/>
      <c r="R46" s="518"/>
    </row>
    <row r="47" spans="1:18" s="525" customFormat="1" ht="15" hidden="1">
      <c r="A47" s="525" t="s">
        <v>963</v>
      </c>
      <c r="B47" s="892" t="s">
        <v>1534</v>
      </c>
      <c r="H47" s="893"/>
      <c r="I47" s="893"/>
      <c r="J47" s="893"/>
      <c r="L47" s="540"/>
      <c r="N47" s="540"/>
      <c r="R47" s="540"/>
    </row>
    <row r="48" spans="1:18" s="155" customFormat="1" ht="15.75" hidden="1">
      <c r="B48" s="1768" t="s">
        <v>1536</v>
      </c>
      <c r="C48" s="1768"/>
      <c r="D48" s="1768"/>
      <c r="E48" s="1768"/>
      <c r="F48" s="1768"/>
      <c r="G48" s="1768"/>
      <c r="H48" s="1768"/>
      <c r="I48" s="1768"/>
      <c r="J48" s="1768"/>
      <c r="L48" s="540"/>
      <c r="M48" s="525"/>
      <c r="N48" s="540"/>
      <c r="O48" s="525"/>
      <c r="P48" s="525"/>
      <c r="Q48" s="525"/>
      <c r="R48" s="518"/>
    </row>
    <row r="49" spans="1:18" s="155" customFormat="1" ht="15.75" hidden="1">
      <c r="B49" s="1768" t="s">
        <v>1537</v>
      </c>
      <c r="C49" s="1768"/>
      <c r="D49" s="1768"/>
      <c r="E49" s="1768"/>
      <c r="F49" s="1768"/>
      <c r="G49" s="1768"/>
      <c r="H49" s="1768"/>
      <c r="I49" s="1768"/>
      <c r="J49" s="1768"/>
      <c r="L49" s="891" t="s">
        <v>1538</v>
      </c>
      <c r="M49" s="525"/>
      <c r="N49" s="540"/>
      <c r="O49" s="525"/>
      <c r="P49" s="525"/>
      <c r="Q49" s="525"/>
      <c r="R49" s="518"/>
    </row>
    <row r="50" spans="1:18" s="155" customFormat="1" ht="15.75" hidden="1">
      <c r="B50" s="571"/>
      <c r="H50" s="156"/>
      <c r="I50" s="156"/>
      <c r="J50" s="156"/>
      <c r="L50" s="540"/>
      <c r="M50" s="525"/>
      <c r="N50" s="540"/>
      <c r="O50" s="525"/>
      <c r="P50" s="525"/>
      <c r="Q50" s="525"/>
      <c r="R50" s="518"/>
    </row>
    <row r="51" spans="1:18" s="155" customFormat="1" ht="15.75" hidden="1">
      <c r="A51" s="157" t="s">
        <v>938</v>
      </c>
      <c r="B51" s="1293" t="s">
        <v>1532</v>
      </c>
      <c r="H51" s="896"/>
      <c r="I51" s="156"/>
      <c r="J51" s="896"/>
      <c r="L51" s="518"/>
      <c r="M51" s="157"/>
      <c r="N51" s="518"/>
      <c r="R51" s="519"/>
    </row>
    <row r="52" spans="1:18" s="157" customFormat="1" ht="18" hidden="1" customHeight="1">
      <c r="B52" s="1293" t="s">
        <v>953</v>
      </c>
      <c r="H52" s="158">
        <f>BS!N117</f>
        <v>0</v>
      </c>
      <c r="I52" s="158"/>
      <c r="J52" s="158"/>
      <c r="L52" s="518"/>
      <c r="N52" s="518"/>
      <c r="O52" s="565"/>
      <c r="R52" s="518"/>
    </row>
    <row r="53" spans="1:18" s="155" customFormat="1" ht="18" hidden="1" customHeight="1">
      <c r="B53" s="889" t="s">
        <v>954</v>
      </c>
      <c r="H53" s="156"/>
      <c r="I53" s="156"/>
      <c r="J53" s="156"/>
      <c r="L53" s="518"/>
      <c r="M53" s="157"/>
      <c r="N53" s="518"/>
      <c r="R53" s="519"/>
    </row>
    <row r="54" spans="1:18" s="155" customFormat="1" ht="18" hidden="1" customHeight="1">
      <c r="B54" s="889" t="s">
        <v>438</v>
      </c>
      <c r="H54" s="156"/>
      <c r="I54" s="156"/>
      <c r="J54" s="156"/>
      <c r="L54" s="518"/>
      <c r="M54" s="157"/>
      <c r="N54" s="518"/>
      <c r="R54" s="519"/>
    </row>
    <row r="55" spans="1:18" s="155" customFormat="1" ht="18" hidden="1" customHeight="1">
      <c r="B55" s="889" t="s">
        <v>955</v>
      </c>
      <c r="H55" s="156"/>
      <c r="I55" s="156"/>
      <c r="J55" s="156"/>
      <c r="L55" s="518"/>
      <c r="M55" s="157"/>
      <c r="N55" s="518"/>
      <c r="O55" s="1294"/>
      <c r="R55" s="519"/>
    </row>
    <row r="56" spans="1:18" s="157" customFormat="1" ht="18" hidden="1" customHeight="1">
      <c r="B56" s="1293" t="s">
        <v>956</v>
      </c>
      <c r="H56" s="158">
        <f>H52+H53-H55-H54</f>
        <v>0</v>
      </c>
      <c r="I56" s="158"/>
      <c r="J56" s="158">
        <f>J52+J53-J55</f>
        <v>0</v>
      </c>
      <c r="L56" s="518">
        <f ca="1">H56-BS!L117</f>
        <v>0</v>
      </c>
      <c r="N56" s="518"/>
      <c r="R56" s="518"/>
    </row>
    <row r="57" spans="1:18" s="155" customFormat="1" ht="15.75" hidden="1">
      <c r="B57" s="1295"/>
      <c r="H57" s="156"/>
      <c r="I57" s="156"/>
      <c r="J57" s="156"/>
      <c r="L57" s="518"/>
      <c r="M57" s="157"/>
      <c r="N57" s="518"/>
      <c r="O57" s="1294"/>
      <c r="R57" s="519"/>
    </row>
    <row r="58" spans="1:18" s="155" customFormat="1" ht="18" hidden="1" customHeight="1">
      <c r="A58" s="157" t="s">
        <v>1418</v>
      </c>
      <c r="B58" s="572" t="s">
        <v>1533</v>
      </c>
      <c r="H58" s="156"/>
      <c r="I58" s="156"/>
      <c r="J58" s="156"/>
      <c r="L58" s="518"/>
      <c r="M58" s="157"/>
      <c r="N58" s="518"/>
      <c r="O58" s="1296"/>
      <c r="R58" s="519"/>
    </row>
    <row r="59" spans="1:18" ht="7.5" customHeight="1">
      <c r="A59" s="290"/>
      <c r="L59" s="1297"/>
      <c r="M59" s="290"/>
      <c r="N59" s="1297"/>
      <c r="O59" s="1298"/>
      <c r="R59" s="1297"/>
    </row>
    <row r="60" spans="1:18" s="155" customFormat="1" ht="38.25" customHeight="1">
      <c r="A60" s="157" t="s">
        <v>1411</v>
      </c>
      <c r="B60" s="1769" t="s">
        <v>1124</v>
      </c>
      <c r="C60" s="1769"/>
      <c r="D60" s="1769"/>
      <c r="E60" s="1769"/>
      <c r="F60" s="1769"/>
      <c r="G60" s="1769"/>
      <c r="H60" s="1769"/>
      <c r="I60" s="1769"/>
      <c r="J60" s="1769"/>
      <c r="L60" s="519"/>
      <c r="N60" s="519"/>
      <c r="O60" s="885"/>
      <c r="R60" s="519"/>
    </row>
    <row r="61" spans="1:18" s="155" customFormat="1" ht="6.75" customHeight="1">
      <c r="A61" s="157"/>
      <c r="B61" s="718"/>
      <c r="C61" s="718"/>
      <c r="D61" s="718"/>
      <c r="E61" s="718"/>
      <c r="F61" s="718"/>
      <c r="G61" s="718"/>
      <c r="H61" s="1770"/>
      <c r="I61" s="1770"/>
      <c r="J61" s="1770"/>
      <c r="L61" s="519"/>
      <c r="N61" s="519"/>
      <c r="O61" s="885"/>
      <c r="R61" s="519"/>
    </row>
    <row r="62" spans="1:18" s="155" customFormat="1" ht="33" customHeight="1">
      <c r="A62" s="579" t="s">
        <v>1524</v>
      </c>
      <c r="B62" s="580" t="s">
        <v>1539</v>
      </c>
      <c r="C62" s="157"/>
      <c r="D62" s="157"/>
      <c r="E62" s="157"/>
      <c r="F62" s="157"/>
      <c r="G62" s="157"/>
      <c r="H62" s="1159" t="s">
        <v>848</v>
      </c>
      <c r="I62" s="581"/>
      <c r="J62" s="1159" t="s">
        <v>847</v>
      </c>
      <c r="K62" s="525"/>
      <c r="L62" s="518"/>
      <c r="M62" s="518"/>
      <c r="N62" s="518"/>
      <c r="O62" s="518"/>
      <c r="P62" s="518"/>
      <c r="Q62" s="157"/>
      <c r="R62" s="518"/>
    </row>
    <row r="63" spans="1:18" s="155" customFormat="1" ht="17.25" customHeight="1">
      <c r="B63" s="580"/>
      <c r="C63" s="157"/>
      <c r="D63" s="157"/>
      <c r="E63" s="157"/>
      <c r="F63" s="157"/>
      <c r="G63" s="157"/>
      <c r="H63" s="158">
        <f>SUM(H64:H67)</f>
        <v>233903078789</v>
      </c>
      <c r="I63" s="158"/>
      <c r="J63" s="158">
        <f>SUM(J64:J67)</f>
        <v>336203489872</v>
      </c>
      <c r="L63" s="518"/>
      <c r="M63" s="565"/>
      <c r="N63" s="518">
        <f>PI!M12-'Note 23_het '!H63</f>
        <v>0</v>
      </c>
      <c r="R63" s="518"/>
    </row>
    <row r="64" spans="1:18" s="155" customFormat="1" ht="18" customHeight="1">
      <c r="B64" s="582" t="s">
        <v>1312</v>
      </c>
      <c r="C64" s="157"/>
      <c r="D64" s="157"/>
      <c r="E64" s="157"/>
      <c r="F64" s="157"/>
      <c r="G64" s="157"/>
      <c r="H64" s="156">
        <f>29259984272+106861750045</f>
        <v>136121734317</v>
      </c>
      <c r="I64" s="158"/>
      <c r="J64" s="156">
        <v>230083222527</v>
      </c>
      <c r="L64" s="518"/>
      <c r="M64" s="565"/>
      <c r="N64" s="518"/>
      <c r="R64" s="518"/>
    </row>
    <row r="65" spans="1:18" s="159" customFormat="1" ht="15.75">
      <c r="B65" s="6" t="s">
        <v>1313</v>
      </c>
      <c r="C65" s="155"/>
      <c r="D65" s="155"/>
      <c r="E65" s="155"/>
      <c r="F65" s="155"/>
      <c r="G65" s="155"/>
      <c r="H65" s="1102">
        <f>21109136363+2088908182</f>
        <v>23198044545</v>
      </c>
      <c r="I65" s="1102"/>
      <c r="J65" s="1102">
        <v>87891050653</v>
      </c>
      <c r="K65" s="157"/>
      <c r="L65" s="518"/>
      <c r="M65" s="518"/>
      <c r="N65" s="518"/>
      <c r="O65" s="155"/>
      <c r="P65" s="155"/>
      <c r="Q65" s="155"/>
      <c r="R65" s="518"/>
    </row>
    <row r="66" spans="1:18" s="159" customFormat="1" ht="15.75">
      <c r="B66" s="6" t="s">
        <v>306</v>
      </c>
      <c r="C66" s="155"/>
      <c r="D66" s="155"/>
      <c r="E66" s="155"/>
      <c r="F66" s="155"/>
      <c r="G66" s="155"/>
      <c r="H66" s="1102">
        <f>38977418157+32603987596</f>
        <v>71581405753</v>
      </c>
      <c r="I66" s="1102"/>
      <c r="J66" s="1102">
        <v>6396208849</v>
      </c>
      <c r="K66" s="157"/>
      <c r="L66" s="518"/>
      <c r="M66" s="518"/>
      <c r="N66" s="518"/>
      <c r="O66" s="155"/>
      <c r="P66" s="155"/>
      <c r="Q66" s="155"/>
      <c r="R66" s="518"/>
    </row>
    <row r="67" spans="1:18" s="159" customFormat="1" ht="15.75">
      <c r="B67" s="6" t="s">
        <v>1314</v>
      </c>
      <c r="C67" s="155"/>
      <c r="D67" s="155"/>
      <c r="E67" s="155"/>
      <c r="F67" s="155"/>
      <c r="G67" s="155"/>
      <c r="H67" s="1102">
        <f>3087498000-85603826</f>
        <v>3001894174</v>
      </c>
      <c r="I67" s="1102"/>
      <c r="J67" s="1102">
        <v>11833007843</v>
      </c>
      <c r="K67" s="157"/>
      <c r="L67" s="518"/>
      <c r="M67" s="518"/>
      <c r="N67" s="518"/>
      <c r="O67" s="155"/>
      <c r="P67" s="155"/>
      <c r="Q67" s="155"/>
      <c r="R67" s="518"/>
    </row>
    <row r="68" spans="1:18" s="159" customFormat="1" ht="9.75" customHeight="1">
      <c r="B68" s="583"/>
      <c r="C68" s="584"/>
      <c r="D68" s="584"/>
      <c r="E68" s="584"/>
      <c r="F68" s="584"/>
      <c r="G68" s="584"/>
      <c r="H68" s="158"/>
      <c r="I68" s="158"/>
      <c r="J68" s="158"/>
      <c r="K68" s="157"/>
      <c r="L68" s="518"/>
      <c r="M68" s="518"/>
      <c r="N68" s="518"/>
      <c r="O68" s="155"/>
      <c r="P68" s="155"/>
      <c r="Q68" s="155"/>
      <c r="R68" s="518"/>
    </row>
    <row r="69" spans="1:18" s="159" customFormat="1" ht="15.75">
      <c r="A69" s="579" t="s">
        <v>935</v>
      </c>
      <c r="B69" s="580" t="s">
        <v>794</v>
      </c>
      <c r="C69" s="157"/>
      <c r="D69" s="157"/>
      <c r="E69" s="157"/>
      <c r="F69" s="157"/>
      <c r="G69" s="157"/>
      <c r="H69" s="158">
        <f>SUM(H70:H72)</f>
        <v>3150696218</v>
      </c>
      <c r="I69" s="158"/>
      <c r="J69" s="158">
        <f>SUM(J70:J71)</f>
        <v>9590078681</v>
      </c>
      <c r="K69" s="157"/>
      <c r="L69" s="518"/>
      <c r="M69" s="518"/>
      <c r="N69" s="518"/>
      <c r="O69" s="155"/>
      <c r="P69" s="155"/>
      <c r="Q69" s="155"/>
      <c r="R69" s="518"/>
    </row>
    <row r="70" spans="1:18" s="159" customFormat="1" ht="15.75">
      <c r="B70" s="582" t="s">
        <v>1315</v>
      </c>
      <c r="C70" s="155"/>
      <c r="D70" s="155"/>
      <c r="E70" s="155"/>
      <c r="F70" s="155"/>
      <c r="G70" s="155"/>
      <c r="H70" s="156">
        <v>3065092392</v>
      </c>
      <c r="I70" s="156"/>
      <c r="J70" s="156">
        <v>9526364505</v>
      </c>
      <c r="K70" s="157"/>
      <c r="L70" s="518"/>
      <c r="M70" s="518"/>
      <c r="N70" s="518"/>
      <c r="O70" s="155"/>
      <c r="P70" s="155"/>
      <c r="Q70" s="155"/>
      <c r="R70" s="518"/>
    </row>
    <row r="71" spans="1:18" s="159" customFormat="1" ht="15.75">
      <c r="B71" s="582" t="s">
        <v>769</v>
      </c>
      <c r="C71" s="155"/>
      <c r="D71" s="155"/>
      <c r="E71" s="155"/>
      <c r="F71" s="155"/>
      <c r="G71" s="155"/>
      <c r="H71" s="156">
        <v>85603826</v>
      </c>
      <c r="I71" s="156"/>
      <c r="J71" s="156">
        <v>63714176</v>
      </c>
      <c r="K71" s="157"/>
      <c r="L71" s="518"/>
      <c r="M71" s="518"/>
      <c r="N71" s="518"/>
      <c r="O71" s="155"/>
      <c r="P71" s="155"/>
      <c r="Q71" s="155"/>
      <c r="R71" s="518"/>
    </row>
    <row r="72" spans="1:18" s="159" customFormat="1" ht="6.75" customHeight="1">
      <c r="B72" s="582"/>
      <c r="C72" s="155"/>
      <c r="D72" s="155"/>
      <c r="E72" s="155"/>
      <c r="F72" s="155"/>
      <c r="G72" s="155"/>
      <c r="H72" s="156"/>
      <c r="I72" s="156"/>
      <c r="J72" s="156"/>
      <c r="K72" s="157"/>
      <c r="L72" s="518"/>
      <c r="M72" s="518"/>
      <c r="N72" s="518"/>
      <c r="O72" s="155"/>
      <c r="P72" s="155"/>
      <c r="Q72" s="155"/>
      <c r="R72" s="518"/>
    </row>
    <row r="73" spans="1:18" s="159" customFormat="1" ht="5.25" customHeight="1">
      <c r="B73" s="585"/>
      <c r="C73" s="586"/>
      <c r="D73" s="586"/>
      <c r="E73" s="586"/>
      <c r="F73" s="586"/>
      <c r="G73" s="586"/>
      <c r="H73" s="158"/>
      <c r="I73" s="158"/>
      <c r="J73" s="158"/>
      <c r="K73" s="157"/>
      <c r="L73" s="518"/>
      <c r="M73" s="518"/>
      <c r="N73" s="518"/>
      <c r="O73" s="155"/>
      <c r="P73" s="155"/>
      <c r="Q73" s="155"/>
      <c r="R73" s="518"/>
    </row>
    <row r="74" spans="1:18" s="159" customFormat="1" ht="18" customHeight="1">
      <c r="A74" s="579" t="s">
        <v>936</v>
      </c>
      <c r="B74" s="580" t="s">
        <v>1419</v>
      </c>
      <c r="C74" s="1475"/>
      <c r="D74" s="157"/>
      <c r="E74" s="157"/>
      <c r="F74" s="157"/>
      <c r="G74" s="157"/>
      <c r="H74" s="158">
        <f>SUM(H75:H78)</f>
        <v>230752382571</v>
      </c>
      <c r="I74" s="158"/>
      <c r="J74" s="158">
        <f>SUM(J75:J78)</f>
        <v>326613411191</v>
      </c>
      <c r="K74" s="155"/>
      <c r="L74" s="563">
        <f>H74-PI!M18</f>
        <v>0</v>
      </c>
      <c r="M74" s="157"/>
      <c r="N74" s="563">
        <f>J74-PI!O18</f>
        <v>0</v>
      </c>
      <c r="O74" s="155"/>
      <c r="P74" s="155"/>
      <c r="Q74" s="155"/>
      <c r="R74" s="518"/>
    </row>
    <row r="75" spans="1:18" s="159" customFormat="1" ht="18" customHeight="1">
      <c r="A75" s="579"/>
      <c r="B75" s="582" t="s">
        <v>1316</v>
      </c>
      <c r="C75" s="1475"/>
      <c r="D75" s="157"/>
      <c r="E75" s="157"/>
      <c r="F75" s="157"/>
      <c r="G75" s="157"/>
      <c r="H75" s="156">
        <f>H64-1026025896</f>
        <v>135095708421</v>
      </c>
      <c r="I75" s="158"/>
      <c r="J75" s="156">
        <f>J64</f>
        <v>230083222527</v>
      </c>
      <c r="K75" s="155"/>
      <c r="L75" s="580"/>
      <c r="M75" s="157"/>
      <c r="N75" s="563"/>
      <c r="O75" s="155"/>
      <c r="P75" s="155"/>
      <c r="Q75" s="155"/>
      <c r="R75" s="518"/>
    </row>
    <row r="76" spans="1:18" s="159" customFormat="1" ht="18" customHeight="1">
      <c r="A76" s="579"/>
      <c r="B76" s="531" t="s">
        <v>1087</v>
      </c>
      <c r="C76" s="1475"/>
      <c r="D76" s="157"/>
      <c r="E76" s="157"/>
      <c r="F76" s="157"/>
      <c r="G76" s="157"/>
      <c r="H76" s="156">
        <f>H65</f>
        <v>23198044545</v>
      </c>
      <c r="I76" s="158"/>
      <c r="J76" s="156">
        <f>J65</f>
        <v>87891050653</v>
      </c>
      <c r="K76" s="155"/>
      <c r="L76" s="563"/>
      <c r="M76" s="157"/>
      <c r="N76" s="563"/>
      <c r="O76" s="155"/>
      <c r="P76" s="155"/>
      <c r="Q76" s="155"/>
      <c r="R76" s="518"/>
    </row>
    <row r="77" spans="1:18" s="159" customFormat="1" ht="18" customHeight="1">
      <c r="A77" s="579"/>
      <c r="B77" s="531" t="s">
        <v>307</v>
      </c>
      <c r="C77" s="1475"/>
      <c r="D77" s="157"/>
      <c r="E77" s="157"/>
      <c r="F77" s="157"/>
      <c r="G77" s="157"/>
      <c r="H77" s="156">
        <f>H66-2039066496-85603826</f>
        <v>69456735431</v>
      </c>
      <c r="I77" s="158"/>
      <c r="J77" s="156">
        <f>J66</f>
        <v>6396208849</v>
      </c>
      <c r="K77" s="155"/>
      <c r="L77" s="563"/>
      <c r="M77" s="157"/>
      <c r="N77" s="563"/>
      <c r="O77" s="155"/>
      <c r="P77" s="155"/>
      <c r="Q77" s="155"/>
      <c r="R77" s="518"/>
    </row>
    <row r="78" spans="1:18" s="159" customFormat="1" ht="18" customHeight="1">
      <c r="A78" s="579"/>
      <c r="B78" s="531" t="s">
        <v>1088</v>
      </c>
      <c r="C78" s="1475"/>
      <c r="D78" s="157"/>
      <c r="E78" s="157"/>
      <c r="F78" s="157"/>
      <c r="G78" s="157"/>
      <c r="H78" s="156">
        <f>H67</f>
        <v>3001894174</v>
      </c>
      <c r="I78" s="158"/>
      <c r="J78" s="156">
        <f>J67-J69</f>
        <v>2242929162</v>
      </c>
      <c r="K78" s="155"/>
      <c r="L78" s="563"/>
      <c r="M78" s="157"/>
      <c r="N78" s="563"/>
      <c r="O78" s="155"/>
      <c r="P78" s="155"/>
      <c r="Q78" s="155"/>
      <c r="R78" s="518"/>
    </row>
    <row r="79" spans="1:18" ht="9.75" customHeight="1">
      <c r="A79" s="290"/>
      <c r="H79" s="1770"/>
      <c r="I79" s="1770"/>
      <c r="J79" s="1770"/>
      <c r="L79" s="559"/>
    </row>
    <row r="80" spans="1:18" s="155" customFormat="1" ht="30" customHeight="1">
      <c r="A80" s="579" t="s">
        <v>937</v>
      </c>
      <c r="B80" s="580" t="s">
        <v>665</v>
      </c>
      <c r="C80" s="157"/>
      <c r="D80" s="157"/>
      <c r="E80" s="157"/>
      <c r="F80" s="157"/>
      <c r="G80" s="157"/>
      <c r="H80" s="1159" t="s">
        <v>848</v>
      </c>
      <c r="I80" s="581"/>
      <c r="J80" s="1159" t="s">
        <v>847</v>
      </c>
      <c r="K80" s="525"/>
      <c r="L80" s="563"/>
      <c r="M80" s="518"/>
      <c r="N80" s="518"/>
      <c r="O80" s="518"/>
      <c r="P80" s="518"/>
      <c r="Q80" s="157"/>
      <c r="R80" s="518"/>
    </row>
    <row r="81" spans="1:18" s="155" customFormat="1" ht="8.25" customHeight="1">
      <c r="A81" s="579"/>
      <c r="B81" s="580"/>
      <c r="C81" s="157"/>
      <c r="D81" s="157"/>
      <c r="E81" s="157"/>
      <c r="F81" s="157"/>
      <c r="G81" s="157"/>
      <c r="H81" s="896"/>
      <c r="I81" s="581"/>
      <c r="J81" s="896"/>
      <c r="K81" s="525"/>
      <c r="L81" s="563"/>
      <c r="M81" s="518"/>
      <c r="N81" s="518"/>
      <c r="O81" s="518"/>
      <c r="P81" s="518"/>
      <c r="Q81" s="157"/>
      <c r="R81" s="518"/>
    </row>
    <row r="82" spans="1:18" s="155" customFormat="1" ht="15.75">
      <c r="A82" s="579"/>
      <c r="B82" s="582" t="s">
        <v>665</v>
      </c>
      <c r="C82" s="157"/>
      <c r="D82" s="157"/>
      <c r="E82" s="157"/>
      <c r="F82" s="157"/>
      <c r="G82" s="157"/>
      <c r="H82" s="1148">
        <f>92042296606+26500753153</f>
        <v>118543049759</v>
      </c>
      <c r="I82" s="1148"/>
      <c r="J82" s="1148">
        <v>210953709326</v>
      </c>
      <c r="K82" s="525"/>
      <c r="L82" s="563"/>
      <c r="M82" s="518"/>
      <c r="N82" s="518"/>
      <c r="O82" s="518"/>
      <c r="P82" s="518"/>
      <c r="Q82" s="157"/>
      <c r="R82" s="518"/>
    </row>
    <row r="83" spans="1:18" s="155" customFormat="1" ht="15.75">
      <c r="A83" s="579"/>
      <c r="B83" s="6" t="s">
        <v>1089</v>
      </c>
      <c r="C83" s="157"/>
      <c r="D83" s="157"/>
      <c r="E83" s="157"/>
      <c r="F83" s="157"/>
      <c r="G83" s="157"/>
      <c r="H83" s="1148">
        <f>1901512100+20733876609</f>
        <v>22635388709</v>
      </c>
      <c r="I83" s="1148"/>
      <c r="J83" s="1148">
        <v>77654082310</v>
      </c>
      <c r="K83" s="525"/>
      <c r="L83" s="563"/>
      <c r="M83" s="518"/>
      <c r="N83" s="518"/>
      <c r="O83" s="518"/>
      <c r="P83" s="518"/>
      <c r="Q83" s="157"/>
      <c r="R83" s="518"/>
    </row>
    <row r="84" spans="1:18" s="155" customFormat="1" ht="15.75">
      <c r="A84" s="579"/>
      <c r="B84" s="6" t="s">
        <v>308</v>
      </c>
      <c r="C84" s="157"/>
      <c r="D84" s="157"/>
      <c r="E84" s="157"/>
      <c r="F84" s="157"/>
      <c r="G84" s="157"/>
      <c r="H84" s="1148">
        <f>28851319358+35245807225</f>
        <v>64097126583</v>
      </c>
      <c r="I84" s="1148"/>
      <c r="J84" s="1148">
        <v>6053056688</v>
      </c>
      <c r="K84" s="525"/>
      <c r="L84" s="563"/>
      <c r="M84" s="518"/>
      <c r="N84" s="518"/>
      <c r="O84" s="518"/>
      <c r="P84" s="518"/>
      <c r="Q84" s="157"/>
      <c r="R84" s="518"/>
    </row>
    <row r="85" spans="1:18" s="155" customFormat="1" ht="19.5" hidden="1" customHeight="1">
      <c r="A85" s="579"/>
      <c r="B85" s="1041" t="s">
        <v>1090</v>
      </c>
      <c r="C85" s="1306"/>
      <c r="D85" s="1306"/>
      <c r="E85" s="1306"/>
      <c r="F85" s="1306"/>
      <c r="G85" s="1306"/>
      <c r="H85" s="1419">
        <v>0</v>
      </c>
      <c r="I85" s="1420"/>
      <c r="J85" s="1419"/>
      <c r="K85" s="525"/>
      <c r="L85" s="580"/>
      <c r="M85" s="568"/>
      <c r="N85" s="568"/>
      <c r="O85" s="518"/>
      <c r="P85" s="518"/>
      <c r="Q85" s="157"/>
      <c r="R85" s="518"/>
    </row>
    <row r="86" spans="1:18" s="157" customFormat="1" ht="18" customHeight="1" thickBot="1">
      <c r="B86" s="578" t="s">
        <v>1571</v>
      </c>
      <c r="C86" s="280"/>
      <c r="D86" s="280"/>
      <c r="E86" s="280"/>
      <c r="F86" s="280"/>
      <c r="H86" s="161">
        <f>SUM(H82:H85)</f>
        <v>205275565051</v>
      </c>
      <c r="I86" s="158"/>
      <c r="J86" s="161">
        <f>SUM(J82:J85)</f>
        <v>294660848324</v>
      </c>
      <c r="L86" s="518">
        <f>H86-PI!M19</f>
        <v>0</v>
      </c>
      <c r="N86" s="518">
        <f>J86-PI!O19</f>
        <v>0</v>
      </c>
      <c r="R86" s="518"/>
    </row>
    <row r="87" spans="1:18" s="155" customFormat="1" ht="8.25" customHeight="1" thickTop="1">
      <c r="B87" s="571"/>
      <c r="H87" s="156"/>
      <c r="I87" s="156"/>
      <c r="J87" s="156"/>
      <c r="K87" s="157"/>
      <c r="L87" s="518"/>
      <c r="M87" s="157"/>
      <c r="N87" s="518"/>
      <c r="R87" s="518"/>
    </row>
    <row r="88" spans="1:18" s="155" customFormat="1" ht="29.25" customHeight="1">
      <c r="A88" s="579" t="s">
        <v>310</v>
      </c>
      <c r="B88" s="572" t="s">
        <v>1421</v>
      </c>
      <c r="C88" s="582"/>
      <c r="D88" s="582"/>
      <c r="E88" s="582"/>
      <c r="F88" s="582"/>
      <c r="H88" s="1159" t="s">
        <v>848</v>
      </c>
      <c r="I88" s="581"/>
      <c r="J88" s="1159" t="s">
        <v>847</v>
      </c>
      <c r="K88" s="525"/>
      <c r="L88" s="518"/>
      <c r="M88" s="518"/>
      <c r="N88" s="518"/>
      <c r="O88" s="518"/>
      <c r="P88" s="518"/>
      <c r="Q88" s="157"/>
      <c r="R88" s="518"/>
    </row>
    <row r="89" spans="1:18" s="155" customFormat="1" ht="18" customHeight="1">
      <c r="A89" s="579"/>
      <c r="B89" s="1250" t="s">
        <v>172</v>
      </c>
      <c r="C89" s="582"/>
      <c r="D89" s="582"/>
      <c r="E89" s="582"/>
      <c r="F89" s="582"/>
      <c r="H89" s="573">
        <f>3181393002+35708801</f>
        <v>3217101803</v>
      </c>
      <c r="I89" s="581"/>
      <c r="J89" s="1299">
        <v>14034739255</v>
      </c>
      <c r="K89" s="525"/>
      <c r="L89" s="518"/>
      <c r="M89" s="518"/>
      <c r="N89" s="518"/>
      <c r="O89" s="518"/>
      <c r="P89" s="518"/>
      <c r="Q89" s="157"/>
      <c r="R89" s="518"/>
    </row>
    <row r="90" spans="1:18" s="1103" customFormat="1" ht="18" customHeight="1">
      <c r="B90" s="6" t="s">
        <v>171</v>
      </c>
      <c r="H90" s="1418">
        <v>36950000</v>
      </c>
      <c r="I90" s="10"/>
      <c r="J90" s="1299">
        <v>132020000</v>
      </c>
      <c r="K90" s="525"/>
      <c r="L90" s="540"/>
      <c r="M90" s="525"/>
      <c r="N90" s="540"/>
      <c r="O90" s="525"/>
      <c r="P90" s="525"/>
      <c r="Q90" s="525"/>
      <c r="R90" s="540"/>
    </row>
    <row r="91" spans="1:18" s="598" customFormat="1" ht="17.25" customHeight="1">
      <c r="B91" s="1417" t="s">
        <v>857</v>
      </c>
      <c r="H91" s="1285">
        <f>49496000+2080000</f>
        <v>51576000</v>
      </c>
      <c r="I91" s="1058"/>
      <c r="J91" s="1058">
        <v>1773439975</v>
      </c>
      <c r="L91" s="626"/>
      <c r="M91" s="632"/>
      <c r="N91" s="626"/>
      <c r="O91" s="632"/>
      <c r="P91" s="632"/>
      <c r="Q91" s="632"/>
      <c r="R91" s="596"/>
    </row>
    <row r="92" spans="1:18" s="598" customFormat="1" ht="4.5" customHeight="1" thickBot="1">
      <c r="B92" s="1012"/>
      <c r="H92" s="1058"/>
      <c r="I92" s="1058"/>
      <c r="J92" s="1058"/>
      <c r="L92" s="626"/>
      <c r="M92" s="632"/>
      <c r="N92" s="626"/>
      <c r="O92" s="632"/>
      <c r="P92" s="632"/>
      <c r="Q92" s="632"/>
      <c r="R92" s="596"/>
    </row>
    <row r="93" spans="1:18" s="560" customFormat="1" ht="18" customHeight="1" thickBot="1">
      <c r="B93" s="578" t="s">
        <v>1571</v>
      </c>
      <c r="C93" s="564"/>
      <c r="D93" s="564"/>
      <c r="E93" s="564"/>
      <c r="F93" s="564"/>
      <c r="H93" s="588">
        <f>SUM(H89:H92)</f>
        <v>3305627803</v>
      </c>
      <c r="I93" s="158"/>
      <c r="J93" s="588">
        <f>SUM(J89:J92)</f>
        <v>15940199230</v>
      </c>
      <c r="K93" s="159"/>
      <c r="L93" s="518">
        <f>H93-PI!M21</f>
        <v>0</v>
      </c>
      <c r="M93" s="157"/>
      <c r="N93" s="518">
        <f>J93-PI!O21</f>
        <v>0</v>
      </c>
      <c r="O93" s="155"/>
      <c r="P93" s="155"/>
      <c r="Q93" s="155"/>
      <c r="R93" s="518"/>
    </row>
    <row r="94" spans="1:18" s="155" customFormat="1" ht="9.75" customHeight="1" thickTop="1">
      <c r="B94" s="571"/>
      <c r="H94" s="162"/>
      <c r="I94" s="156"/>
      <c r="J94" s="162"/>
      <c r="L94" s="518"/>
      <c r="M94" s="157"/>
      <c r="N94" s="518"/>
      <c r="R94" s="518"/>
    </row>
    <row r="95" spans="1:18" s="155" customFormat="1" ht="34.5" customHeight="1">
      <c r="A95" s="579" t="s">
        <v>938</v>
      </c>
      <c r="B95" s="572" t="s">
        <v>1382</v>
      </c>
      <c r="H95" s="1159" t="s">
        <v>848</v>
      </c>
      <c r="I95" s="581"/>
      <c r="J95" s="1159" t="s">
        <v>847</v>
      </c>
      <c r="K95" s="525"/>
      <c r="L95" s="518"/>
      <c r="M95" s="518"/>
      <c r="N95" s="518"/>
      <c r="O95" s="518"/>
      <c r="P95" s="518"/>
      <c r="Q95" s="157"/>
      <c r="R95" s="518"/>
    </row>
    <row r="96" spans="1:18" s="598" customFormat="1" ht="15">
      <c r="B96" s="1012" t="s">
        <v>309</v>
      </c>
      <c r="H96" s="599">
        <v>12476814638</v>
      </c>
      <c r="I96" s="1058"/>
      <c r="J96" s="599">
        <v>20114987411</v>
      </c>
      <c r="L96" s="626"/>
      <c r="M96" s="632"/>
      <c r="N96" s="626"/>
      <c r="O96" s="632"/>
      <c r="P96" s="632"/>
      <c r="Q96" s="632"/>
      <c r="R96" s="596"/>
    </row>
    <row r="97" spans="1:18" s="159" customFormat="1" ht="15.75" hidden="1">
      <c r="B97" s="571" t="s">
        <v>1136</v>
      </c>
      <c r="H97" s="156"/>
      <c r="I97" s="156"/>
      <c r="J97" s="156"/>
      <c r="K97" s="157"/>
      <c r="L97" s="518"/>
      <c r="M97" s="157"/>
      <c r="N97" s="518"/>
      <c r="O97" s="155"/>
      <c r="P97" s="155"/>
      <c r="Q97" s="155"/>
      <c r="R97" s="518"/>
    </row>
    <row r="98" spans="1:18" s="159" customFormat="1" ht="15.75" hidden="1">
      <c r="B98" s="589" t="s">
        <v>1383</v>
      </c>
      <c r="H98" s="156"/>
      <c r="I98" s="156"/>
      <c r="J98" s="156"/>
      <c r="K98" s="157"/>
      <c r="L98" s="518"/>
      <c r="M98" s="157"/>
      <c r="N98" s="518"/>
      <c r="O98" s="155"/>
      <c r="P98" s="155"/>
      <c r="Q98" s="155"/>
      <c r="R98" s="518"/>
    </row>
    <row r="99" spans="1:18" s="159" customFormat="1" ht="15.75">
      <c r="B99" s="571" t="s">
        <v>1137</v>
      </c>
      <c r="H99" s="156">
        <v>275381720</v>
      </c>
      <c r="I99" s="156"/>
      <c r="J99" s="156">
        <v>1326028914</v>
      </c>
      <c r="K99" s="157"/>
      <c r="L99" s="518"/>
      <c r="M99" s="157"/>
      <c r="N99" s="518"/>
      <c r="O99" s="155"/>
      <c r="P99" s="155"/>
      <c r="Q99" s="155"/>
      <c r="R99" s="518"/>
    </row>
    <row r="100" spans="1:18" s="159" customFormat="1" ht="15.75" hidden="1">
      <c r="B100" s="571" t="s">
        <v>1138</v>
      </c>
      <c r="H100" s="156"/>
      <c r="I100" s="156"/>
      <c r="J100" s="156"/>
      <c r="K100" s="157"/>
      <c r="L100" s="518"/>
      <c r="M100" s="157"/>
      <c r="N100" s="518"/>
      <c r="O100" s="155"/>
      <c r="P100" s="155"/>
      <c r="Q100" s="155"/>
      <c r="R100" s="518"/>
    </row>
    <row r="101" spans="1:18" s="159" customFormat="1" ht="15.75" hidden="1">
      <c r="B101" s="571" t="s">
        <v>1139</v>
      </c>
      <c r="H101" s="156">
        <v>0</v>
      </c>
      <c r="I101" s="156"/>
      <c r="J101" s="156">
        <v>0</v>
      </c>
      <c r="K101" s="157"/>
      <c r="L101" s="518"/>
      <c r="M101" s="157"/>
      <c r="N101" s="518"/>
      <c r="O101" s="155"/>
      <c r="P101" s="155"/>
      <c r="Q101" s="155"/>
      <c r="R101" s="518"/>
    </row>
    <row r="102" spans="1:18" s="159" customFormat="1" ht="15.75">
      <c r="B102" s="571" t="s">
        <v>1384</v>
      </c>
      <c r="H102" s="156">
        <f>520905820</f>
        <v>520905820</v>
      </c>
      <c r="I102" s="156"/>
      <c r="J102" s="156">
        <v>224000</v>
      </c>
      <c r="K102" s="157"/>
      <c r="L102" s="518"/>
      <c r="M102" s="157"/>
      <c r="N102" s="518"/>
      <c r="O102" s="155"/>
      <c r="P102" s="155"/>
      <c r="Q102" s="155"/>
      <c r="R102" s="518"/>
    </row>
    <row r="103" spans="1:18" s="159" customFormat="1" ht="15.75">
      <c r="B103" s="571" t="s">
        <v>764</v>
      </c>
      <c r="H103" s="156">
        <f>-723630500+9789900434-10200000000</f>
        <v>-1133730066</v>
      </c>
      <c r="I103" s="156"/>
      <c r="J103" s="156">
        <v>0</v>
      </c>
      <c r="K103" s="157"/>
      <c r="L103" s="518"/>
      <c r="M103" s="157"/>
      <c r="N103" s="518"/>
      <c r="O103" s="155"/>
      <c r="P103" s="155"/>
      <c r="Q103" s="155"/>
      <c r="R103" s="518"/>
    </row>
    <row r="104" spans="1:18" s="159" customFormat="1" ht="5.25" customHeight="1">
      <c r="B104" s="587"/>
      <c r="H104" s="156"/>
      <c r="I104" s="156"/>
      <c r="J104" s="156"/>
      <c r="K104" s="155"/>
      <c r="L104" s="518"/>
      <c r="M104" s="157"/>
      <c r="N104" s="518"/>
      <c r="O104" s="155"/>
      <c r="P104" s="155"/>
      <c r="Q104" s="155"/>
      <c r="R104" s="518"/>
    </row>
    <row r="105" spans="1:18" s="560" customFormat="1" ht="18" customHeight="1" thickBot="1">
      <c r="B105" s="578" t="s">
        <v>1571</v>
      </c>
      <c r="C105" s="564"/>
      <c r="D105" s="564"/>
      <c r="E105" s="564"/>
      <c r="F105" s="564"/>
      <c r="H105" s="161">
        <f>SUM(H96:H103)</f>
        <v>12139372112</v>
      </c>
      <c r="I105" s="158"/>
      <c r="J105" s="161">
        <f>SUM(J96:J103)</f>
        <v>21441240325</v>
      </c>
      <c r="K105" s="159"/>
      <c r="L105" s="518">
        <f>H105-PI!M22</f>
        <v>0</v>
      </c>
      <c r="M105" s="157"/>
      <c r="N105" s="518">
        <f>J105-PI!O22</f>
        <v>0</v>
      </c>
      <c r="O105" s="155"/>
      <c r="P105" s="155"/>
      <c r="Q105" s="155"/>
      <c r="R105" s="518"/>
    </row>
    <row r="106" spans="1:18" s="560" customFormat="1" ht="18" customHeight="1" thickTop="1">
      <c r="B106" s="1523"/>
      <c r="H106" s="158"/>
      <c r="I106" s="158"/>
      <c r="J106" s="158"/>
      <c r="K106" s="159"/>
      <c r="L106" s="518"/>
      <c r="M106" s="157"/>
      <c r="N106" s="518"/>
      <c r="O106" s="155"/>
      <c r="P106" s="155"/>
      <c r="Q106" s="155"/>
      <c r="R106" s="518"/>
    </row>
    <row r="107" spans="1:18" s="560" customFormat="1" ht="32.25" customHeight="1">
      <c r="A107" s="1524" t="s">
        <v>1418</v>
      </c>
      <c r="B107" s="1525" t="s">
        <v>681</v>
      </c>
      <c r="H107" s="1159" t="s">
        <v>848</v>
      </c>
      <c r="I107" s="158"/>
      <c r="J107" s="1159" t="s">
        <v>847</v>
      </c>
      <c r="K107" s="159"/>
      <c r="L107" s="518"/>
      <c r="M107" s="157"/>
      <c r="N107" s="518"/>
      <c r="O107" s="155"/>
      <c r="P107" s="155"/>
      <c r="Q107" s="155"/>
      <c r="R107" s="518"/>
    </row>
    <row r="108" spans="1:18" s="560" customFormat="1" ht="17.25" customHeight="1">
      <c r="A108" s="1524"/>
      <c r="B108" s="889" t="s">
        <v>765</v>
      </c>
      <c r="H108" s="1232">
        <v>334009699</v>
      </c>
      <c r="I108" s="158"/>
      <c r="J108" s="519">
        <v>0</v>
      </c>
      <c r="K108" s="159"/>
      <c r="L108" s="518"/>
      <c r="M108" s="157"/>
      <c r="N108" s="1232"/>
      <c r="O108" s="155"/>
      <c r="P108" s="155"/>
      <c r="Q108" s="155"/>
      <c r="R108" s="518"/>
    </row>
    <row r="109" spans="1:18" s="560" customFormat="1" ht="17.25" customHeight="1">
      <c r="A109" s="1524"/>
      <c r="B109" s="1295" t="s">
        <v>681</v>
      </c>
      <c r="H109" s="1565">
        <v>1091612333</v>
      </c>
      <c r="I109" s="158"/>
      <c r="J109" s="1526">
        <v>447399650</v>
      </c>
      <c r="K109" s="159"/>
      <c r="L109" s="518"/>
      <c r="M109" s="157"/>
      <c r="N109" s="518"/>
      <c r="O109" s="155"/>
      <c r="P109" s="155"/>
      <c r="Q109" s="155"/>
      <c r="R109" s="518"/>
    </row>
    <row r="110" spans="1:18" s="560" customFormat="1" ht="18" hidden="1" customHeight="1">
      <c r="B110" s="1523"/>
      <c r="H110" s="158"/>
      <c r="I110" s="158"/>
      <c r="J110" s="158"/>
      <c r="K110" s="159"/>
      <c r="L110" s="518"/>
      <c r="M110" s="157"/>
      <c r="N110" s="518"/>
      <c r="O110" s="155"/>
      <c r="P110" s="155"/>
      <c r="Q110" s="155"/>
      <c r="R110" s="518"/>
    </row>
    <row r="111" spans="1:18" s="560" customFormat="1" ht="18" customHeight="1" thickBot="1">
      <c r="B111" s="578" t="s">
        <v>1571</v>
      </c>
      <c r="C111" s="564"/>
      <c r="D111" s="564"/>
      <c r="E111" s="564"/>
      <c r="F111" s="564"/>
      <c r="H111" s="161">
        <f>SUM(H108:H109)</f>
        <v>1425622032</v>
      </c>
      <c r="I111" s="158"/>
      <c r="J111" s="161">
        <f>SUM(J109:J109)</f>
        <v>447399650</v>
      </c>
      <c r="K111" s="159"/>
      <c r="L111" s="518"/>
      <c r="M111" s="157"/>
      <c r="N111" s="518"/>
      <c r="O111" s="155"/>
      <c r="P111" s="155"/>
      <c r="Q111" s="155"/>
      <c r="R111" s="518"/>
    </row>
    <row r="112" spans="1:18" s="560" customFormat="1" ht="18" customHeight="1" thickTop="1">
      <c r="B112" s="1523"/>
      <c r="H112" s="158"/>
      <c r="I112" s="158"/>
      <c r="J112" s="158"/>
      <c r="K112" s="159"/>
      <c r="L112" s="518"/>
      <c r="M112" s="157"/>
      <c r="N112" s="518"/>
      <c r="O112" s="155"/>
      <c r="P112" s="155"/>
      <c r="Q112" s="155"/>
      <c r="R112" s="518"/>
    </row>
    <row r="113" spans="1:18" s="560" customFormat="1" ht="32.25" customHeight="1">
      <c r="A113" s="1524" t="s">
        <v>319</v>
      </c>
      <c r="B113" s="1525" t="s">
        <v>684</v>
      </c>
      <c r="H113" s="1159" t="s">
        <v>848</v>
      </c>
      <c r="I113" s="158"/>
      <c r="J113" s="1159" t="s">
        <v>847</v>
      </c>
      <c r="K113" s="159"/>
      <c r="L113" s="518"/>
      <c r="M113" s="157"/>
      <c r="N113" s="518"/>
      <c r="O113" s="155"/>
      <c r="P113" s="155"/>
      <c r="Q113" s="155"/>
      <c r="R113" s="518"/>
    </row>
    <row r="114" spans="1:18" s="560" customFormat="1" ht="15" customHeight="1">
      <c r="A114" s="1524"/>
      <c r="B114" s="889" t="s">
        <v>1</v>
      </c>
      <c r="H114" s="1526">
        <v>281891202</v>
      </c>
      <c r="I114" s="158"/>
      <c r="J114" s="519">
        <v>0</v>
      </c>
      <c r="K114" s="159"/>
      <c r="L114" s="518"/>
      <c r="M114" s="157"/>
      <c r="N114" s="518"/>
      <c r="O114" s="155"/>
      <c r="P114" s="155"/>
      <c r="Q114" s="155"/>
      <c r="R114" s="518"/>
    </row>
    <row r="115" spans="1:18" s="560" customFormat="1" ht="17.25" customHeight="1">
      <c r="A115" s="1524"/>
      <c r="B115" s="1295" t="s">
        <v>684</v>
      </c>
      <c r="H115" s="1565">
        <v>1055748226</v>
      </c>
      <c r="I115" s="158"/>
      <c r="J115" s="1526">
        <v>486215889</v>
      </c>
      <c r="K115" s="159"/>
      <c r="L115" s="518"/>
      <c r="M115" s="157"/>
      <c r="N115" s="1566"/>
      <c r="O115" s="155"/>
      <c r="P115" s="155"/>
      <c r="Q115" s="155"/>
      <c r="R115" s="518"/>
    </row>
    <row r="116" spans="1:18" s="560" customFormat="1" ht="16.5" hidden="1" customHeight="1">
      <c r="A116" s="1524"/>
      <c r="B116" s="1525"/>
      <c r="H116" s="1304"/>
      <c r="I116" s="158"/>
      <c r="J116" s="1304"/>
      <c r="K116" s="159"/>
      <c r="L116" s="518"/>
      <c r="M116" s="157"/>
      <c r="N116" s="518"/>
      <c r="O116" s="155"/>
      <c r="P116" s="155"/>
      <c r="Q116" s="155"/>
      <c r="R116" s="518"/>
    </row>
    <row r="117" spans="1:18" s="560" customFormat="1" ht="18" customHeight="1" thickBot="1">
      <c r="B117" s="578" t="s">
        <v>1571</v>
      </c>
      <c r="C117" s="564"/>
      <c r="D117" s="564"/>
      <c r="E117" s="564"/>
      <c r="F117" s="564"/>
      <c r="H117" s="161">
        <f>SUM(H114:H115)</f>
        <v>1337639428</v>
      </c>
      <c r="I117" s="158"/>
      <c r="J117" s="161">
        <f>SUM(J115:J115)</f>
        <v>486215889</v>
      </c>
      <c r="K117" s="159"/>
      <c r="L117" s="518"/>
      <c r="M117" s="157"/>
      <c r="N117" s="518"/>
      <c r="O117" s="155"/>
      <c r="P117" s="155"/>
      <c r="Q117" s="155"/>
      <c r="R117" s="518"/>
    </row>
    <row r="118" spans="1:18" s="155" customFormat="1" ht="9" customHeight="1" thickTop="1">
      <c r="B118" s="571"/>
      <c r="H118" s="162"/>
      <c r="I118" s="156"/>
      <c r="J118" s="162"/>
      <c r="L118" s="518"/>
      <c r="M118" s="157"/>
      <c r="N118" s="518"/>
      <c r="R118" s="518"/>
    </row>
    <row r="119" spans="1:18" s="155" customFormat="1" ht="35.25" customHeight="1">
      <c r="A119" s="579" t="s">
        <v>402</v>
      </c>
      <c r="B119" s="572" t="s">
        <v>1420</v>
      </c>
      <c r="C119" s="582"/>
      <c r="D119" s="582"/>
      <c r="E119" s="582"/>
      <c r="F119" s="582"/>
      <c r="H119" s="1159" t="s">
        <v>848</v>
      </c>
      <c r="I119" s="581"/>
      <c r="J119" s="1159" t="s">
        <v>847</v>
      </c>
      <c r="K119" s="561"/>
      <c r="L119" s="518"/>
      <c r="M119" s="518"/>
      <c r="N119" s="518"/>
      <c r="O119" s="519"/>
      <c r="P119" s="519"/>
      <c r="R119" s="519"/>
    </row>
    <row r="120" spans="1:18" s="155" customFormat="1" ht="39" customHeight="1">
      <c r="A120" s="769" t="s">
        <v>1389</v>
      </c>
      <c r="B120" s="1760" t="s">
        <v>957</v>
      </c>
      <c r="C120" s="1760"/>
      <c r="D120" s="1760"/>
      <c r="E120" s="1760"/>
      <c r="F120" s="1760"/>
      <c r="H120" s="156">
        <f>PI!M31</f>
        <v>940329877</v>
      </c>
      <c r="I120" s="567"/>
      <c r="J120" s="156">
        <f>PI!O31</f>
        <v>1889929745</v>
      </c>
      <c r="L120" s="518">
        <f>H120-PI!M31</f>
        <v>0</v>
      </c>
      <c r="M120" s="157"/>
      <c r="N120" s="518">
        <f>J120-PI!O31</f>
        <v>0</v>
      </c>
      <c r="R120" s="519"/>
    </row>
    <row r="121" spans="1:18" s="159" customFormat="1" ht="15.75" hidden="1">
      <c r="A121" s="769" t="s">
        <v>1389</v>
      </c>
      <c r="B121" s="1761" t="s">
        <v>958</v>
      </c>
      <c r="C121" s="1761"/>
      <c r="D121" s="1761"/>
      <c r="E121" s="1761"/>
      <c r="F121" s="1761"/>
      <c r="H121" s="156"/>
      <c r="I121" s="567"/>
      <c r="J121" s="156"/>
      <c r="K121" s="155"/>
      <c r="L121" s="518"/>
      <c r="M121" s="157"/>
      <c r="N121" s="518"/>
      <c r="O121" s="155"/>
      <c r="P121" s="155"/>
      <c r="Q121" s="155"/>
      <c r="R121" s="519"/>
    </row>
    <row r="122" spans="1:18" s="159" customFormat="1" ht="15.75" hidden="1">
      <c r="A122" s="769" t="s">
        <v>1389</v>
      </c>
      <c r="B122" s="1761" t="s">
        <v>959</v>
      </c>
      <c r="C122" s="1761"/>
      <c r="D122" s="1761"/>
      <c r="E122" s="1761"/>
      <c r="F122" s="1761"/>
      <c r="H122" s="156"/>
      <c r="I122" s="567"/>
      <c r="J122" s="156"/>
      <c r="K122" s="155"/>
      <c r="L122" s="518"/>
      <c r="M122" s="157"/>
      <c r="N122" s="518"/>
      <c r="O122" s="155"/>
      <c r="P122" s="155"/>
      <c r="Q122" s="155"/>
      <c r="R122" s="519"/>
    </row>
    <row r="123" spans="1:18" s="159" customFormat="1" ht="9" hidden="1" customHeight="1">
      <c r="A123" s="769"/>
      <c r="B123" s="590"/>
      <c r="C123" s="590"/>
      <c r="D123" s="590"/>
      <c r="E123" s="590"/>
      <c r="F123" s="590"/>
      <c r="H123" s="156"/>
      <c r="I123" s="567"/>
      <c r="J123" s="156"/>
      <c r="K123" s="155"/>
      <c r="L123" s="518"/>
      <c r="M123" s="157"/>
      <c r="N123" s="518"/>
      <c r="O123" s="155"/>
      <c r="P123" s="155"/>
      <c r="Q123" s="155"/>
      <c r="R123" s="519"/>
    </row>
    <row r="124" spans="1:18" s="159" customFormat="1" ht="15.75" hidden="1">
      <c r="A124" s="1335"/>
      <c r="B124" s="1765" t="s">
        <v>1113</v>
      </c>
      <c r="C124" s="1765"/>
      <c r="D124" s="1765"/>
      <c r="E124" s="1765"/>
      <c r="F124" s="1765"/>
      <c r="G124" s="1765"/>
      <c r="H124" s="1765"/>
      <c r="I124" s="1765"/>
      <c r="J124" s="1765"/>
      <c r="K124" s="155"/>
      <c r="L124" s="518"/>
      <c r="M124" s="157"/>
      <c r="N124" s="518"/>
      <c r="O124" s="155"/>
      <c r="P124" s="155"/>
      <c r="Q124" s="155"/>
      <c r="R124" s="519"/>
    </row>
    <row r="125" spans="1:18" s="159" customFormat="1" ht="28.5" hidden="1" customHeight="1">
      <c r="A125" s="1335"/>
      <c r="B125" s="1766" t="s">
        <v>1114</v>
      </c>
      <c r="C125" s="1766"/>
      <c r="D125" s="1766"/>
      <c r="E125" s="1766"/>
      <c r="F125" s="1766"/>
      <c r="G125" s="1336"/>
      <c r="H125" s="1337">
        <f>H127+H126</f>
        <v>0</v>
      </c>
      <c r="I125" s="1338"/>
      <c r="J125" s="1300"/>
      <c r="K125" s="155"/>
      <c r="L125" s="518"/>
      <c r="M125" s="157"/>
      <c r="N125" s="518"/>
      <c r="O125" s="155"/>
      <c r="P125" s="155"/>
      <c r="Q125" s="155"/>
      <c r="R125" s="519"/>
    </row>
    <row r="126" spans="1:18" s="1314" customFormat="1" ht="15.75" hidden="1">
      <c r="A126" s="1339"/>
      <c r="B126" s="1767" t="s">
        <v>1116</v>
      </c>
      <c r="C126" s="1767"/>
      <c r="D126" s="1767"/>
      <c r="E126" s="1767"/>
      <c r="F126" s="1767"/>
      <c r="G126" s="1340"/>
      <c r="H126" s="1341">
        <v>0</v>
      </c>
      <c r="I126" s="1342"/>
      <c r="J126" s="1341"/>
      <c r="K126" s="561"/>
      <c r="L126" s="540"/>
      <c r="M126" s="525"/>
      <c r="N126" s="540"/>
      <c r="O126" s="561"/>
      <c r="P126" s="561"/>
      <c r="Q126" s="561"/>
      <c r="R126" s="1315"/>
    </row>
    <row r="127" spans="1:18" s="1314" customFormat="1" ht="30.75" hidden="1" customHeight="1">
      <c r="A127" s="1339"/>
      <c r="B127" s="1767" t="s">
        <v>1115</v>
      </c>
      <c r="C127" s="1767"/>
      <c r="D127" s="1767"/>
      <c r="E127" s="1767"/>
      <c r="F127" s="1767"/>
      <c r="G127" s="1340"/>
      <c r="H127" s="1341"/>
      <c r="I127" s="1342"/>
      <c r="J127" s="1341"/>
      <c r="K127" s="561"/>
      <c r="L127" s="540"/>
      <c r="M127" s="525"/>
      <c r="N127" s="540"/>
      <c r="O127" s="561"/>
      <c r="P127" s="561"/>
      <c r="Q127" s="561"/>
      <c r="R127" s="1315"/>
    </row>
    <row r="128" spans="1:18" s="159" customFormat="1" ht="15.75" hidden="1" customHeight="1">
      <c r="A128" s="1335"/>
      <c r="B128" s="1747" t="s">
        <v>1117</v>
      </c>
      <c r="C128" s="1747"/>
      <c r="D128" s="1747"/>
      <c r="E128" s="1747"/>
      <c r="F128" s="1747"/>
      <c r="G128" s="1316"/>
      <c r="H128" s="1343"/>
      <c r="I128" s="1316"/>
      <c r="J128" s="1316"/>
      <c r="K128" s="1312"/>
      <c r="L128" s="1312"/>
      <c r="M128" s="1312"/>
      <c r="N128" s="518"/>
      <c r="O128" s="155"/>
      <c r="P128" s="155"/>
      <c r="Q128" s="155"/>
      <c r="R128" s="519"/>
    </row>
    <row r="129" spans="1:18" s="159" customFormat="1" ht="30" hidden="1" customHeight="1">
      <c r="A129" s="1335"/>
      <c r="B129" s="1747" t="s">
        <v>1118</v>
      </c>
      <c r="C129" s="1747"/>
      <c r="D129" s="1747"/>
      <c r="E129" s="1747"/>
      <c r="F129" s="1747"/>
      <c r="G129" s="1316"/>
      <c r="H129" s="1344">
        <v>0</v>
      </c>
      <c r="I129" s="1316"/>
      <c r="J129" s="1316"/>
      <c r="K129" s="1312"/>
      <c r="L129" s="1312"/>
      <c r="M129" s="1312"/>
      <c r="N129" s="518"/>
      <c r="O129" s="155"/>
      <c r="P129" s="155"/>
      <c r="Q129" s="155"/>
      <c r="R129" s="519"/>
    </row>
    <row r="130" spans="1:18" s="159" customFormat="1" ht="32.25" hidden="1" customHeight="1">
      <c r="A130" s="1335"/>
      <c r="B130" s="1763" t="s">
        <v>1119</v>
      </c>
      <c r="C130" s="1763"/>
      <c r="D130" s="1763"/>
      <c r="E130" s="1763"/>
      <c r="F130" s="1763"/>
      <c r="G130" s="1345"/>
      <c r="H130" s="1344"/>
      <c r="I130" s="1345"/>
      <c r="J130" s="1345"/>
      <c r="K130" s="1313"/>
      <c r="L130" s="1313"/>
      <c r="M130" s="1313"/>
      <c r="N130" s="518"/>
      <c r="O130" s="155"/>
      <c r="P130" s="155"/>
      <c r="Q130" s="155"/>
      <c r="R130" s="519"/>
    </row>
    <row r="131" spans="1:18" s="159" customFormat="1" ht="32.25" hidden="1" customHeight="1">
      <c r="A131" s="1335"/>
      <c r="B131" s="1749" t="s">
        <v>1120</v>
      </c>
      <c r="C131" s="1749"/>
      <c r="D131" s="1749"/>
      <c r="E131" s="1749"/>
      <c r="F131" s="1749"/>
      <c r="G131" s="1345"/>
      <c r="H131" s="1300">
        <f>H125-H128+H130</f>
        <v>0</v>
      </c>
      <c r="I131" s="1345"/>
      <c r="J131" s="1345"/>
      <c r="K131" s="1313"/>
      <c r="L131" s="1313"/>
      <c r="M131" s="1313"/>
      <c r="N131" s="518"/>
      <c r="O131" s="155"/>
      <c r="P131" s="155"/>
      <c r="Q131" s="155"/>
      <c r="R131" s="519"/>
    </row>
    <row r="132" spans="1:18" s="159" customFormat="1" ht="33.75" hidden="1" customHeight="1">
      <c r="A132" s="1335"/>
      <c r="B132" s="1749" t="s">
        <v>1121</v>
      </c>
      <c r="C132" s="1749"/>
      <c r="D132" s="1749"/>
      <c r="E132" s="1749"/>
      <c r="F132" s="1749"/>
      <c r="G132" s="1316"/>
      <c r="H132" s="1346">
        <f>H131*25%</f>
        <v>0</v>
      </c>
      <c r="I132" s="1316"/>
      <c r="J132" s="1316"/>
      <c r="K132" s="1312"/>
      <c r="L132" s="1312"/>
      <c r="M132" s="1312"/>
      <c r="N132" s="518"/>
      <c r="O132" s="155"/>
      <c r="P132" s="155"/>
      <c r="Q132" s="155"/>
      <c r="R132" s="519"/>
    </row>
    <row r="133" spans="1:18" s="159" customFormat="1" ht="32.25" hidden="1" customHeight="1">
      <c r="A133" s="1335"/>
      <c r="B133" s="1749" t="s">
        <v>1122</v>
      </c>
      <c r="C133" s="1749"/>
      <c r="D133" s="1749"/>
      <c r="E133" s="1749"/>
      <c r="F133" s="1749"/>
      <c r="G133" s="1316"/>
      <c r="H133" s="1316"/>
      <c r="I133" s="1316"/>
      <c r="J133" s="1316"/>
      <c r="K133" s="1312"/>
      <c r="L133" s="1312"/>
      <c r="M133" s="1312"/>
      <c r="N133" s="518"/>
      <c r="O133" s="155"/>
      <c r="P133" s="155"/>
      <c r="Q133" s="155"/>
      <c r="R133" s="519"/>
    </row>
    <row r="134" spans="1:18" s="159" customFormat="1" ht="15.75" hidden="1" customHeight="1">
      <c r="A134" s="1335"/>
      <c r="B134" s="1749" t="s">
        <v>1123</v>
      </c>
      <c r="C134" s="1749"/>
      <c r="D134" s="1749"/>
      <c r="E134" s="1749"/>
      <c r="F134" s="1749"/>
      <c r="G134" s="1316"/>
      <c r="H134" s="1316"/>
      <c r="I134" s="1316"/>
      <c r="J134" s="1316"/>
      <c r="K134" s="1312"/>
      <c r="L134" s="1312"/>
      <c r="M134" s="1312"/>
      <c r="N134" s="518"/>
      <c r="O134" s="155"/>
      <c r="P134" s="155"/>
      <c r="Q134" s="155"/>
      <c r="R134" s="519"/>
    </row>
    <row r="135" spans="1:18" s="159" customFormat="1" ht="9.75" hidden="1" customHeight="1">
      <c r="B135" s="590"/>
      <c r="C135" s="590"/>
      <c r="D135" s="590"/>
      <c r="E135" s="590"/>
      <c r="F135" s="590"/>
      <c r="H135" s="156"/>
      <c r="I135" s="567"/>
      <c r="J135" s="156"/>
      <c r="K135" s="155"/>
      <c r="L135" s="518"/>
      <c r="M135" s="157"/>
      <c r="N135" s="518"/>
      <c r="O135" s="155"/>
      <c r="P135" s="155"/>
      <c r="Q135" s="155"/>
      <c r="R135" s="519"/>
    </row>
    <row r="136" spans="1:18" s="155" customFormat="1" ht="15.75" hidden="1">
      <c r="A136" s="579" t="s">
        <v>446</v>
      </c>
      <c r="B136" s="572" t="s">
        <v>1422</v>
      </c>
      <c r="C136" s="582"/>
      <c r="D136" s="582"/>
      <c r="E136" s="582"/>
      <c r="F136" s="582"/>
      <c r="H136" s="896"/>
      <c r="I136" s="581"/>
      <c r="J136" s="896"/>
      <c r="K136" s="561"/>
      <c r="L136" s="518"/>
      <c r="M136" s="518"/>
      <c r="N136" s="518"/>
      <c r="O136" s="519"/>
      <c r="P136" s="519"/>
      <c r="R136" s="519"/>
    </row>
    <row r="137" spans="1:18" s="771" customFormat="1" ht="15" hidden="1">
      <c r="A137" s="770" t="s">
        <v>1389</v>
      </c>
      <c r="B137" s="1762" t="s">
        <v>1140</v>
      </c>
      <c r="C137" s="1762"/>
      <c r="D137" s="1762"/>
      <c r="E137" s="1762"/>
      <c r="F137" s="1762"/>
      <c r="H137" s="772"/>
      <c r="I137" s="773">
        <v>0</v>
      </c>
      <c r="J137" s="772"/>
      <c r="K137" s="774"/>
      <c r="L137" s="775"/>
      <c r="M137" s="776"/>
      <c r="N137" s="845"/>
      <c r="O137" s="774"/>
      <c r="P137" s="774"/>
      <c r="Q137" s="774"/>
      <c r="R137" s="777"/>
    </row>
    <row r="138" spans="1:18" s="771" customFormat="1" ht="15" hidden="1">
      <c r="A138" s="770" t="s">
        <v>1389</v>
      </c>
      <c r="B138" s="1748" t="s">
        <v>1141</v>
      </c>
      <c r="C138" s="1748"/>
      <c r="D138" s="1748"/>
      <c r="E138" s="1748"/>
      <c r="F138" s="1748"/>
      <c r="H138" s="772"/>
      <c r="I138" s="773">
        <v>0</v>
      </c>
      <c r="J138" s="772"/>
      <c r="K138" s="774"/>
      <c r="L138" s="775"/>
      <c r="M138" s="776"/>
      <c r="N138" s="845"/>
      <c r="O138" s="774"/>
      <c r="P138" s="774"/>
      <c r="Q138" s="774"/>
      <c r="R138" s="777"/>
    </row>
    <row r="139" spans="1:18" s="771" customFormat="1" ht="15" hidden="1">
      <c r="A139" s="770" t="s">
        <v>1389</v>
      </c>
      <c r="B139" s="1748" t="s">
        <v>1142</v>
      </c>
      <c r="C139" s="1748"/>
      <c r="D139" s="1748"/>
      <c r="E139" s="1748"/>
      <c r="F139" s="1748"/>
      <c r="H139" s="772"/>
      <c r="I139" s="773">
        <v>0</v>
      </c>
      <c r="J139" s="772"/>
      <c r="K139" s="774"/>
      <c r="L139" s="775"/>
      <c r="M139" s="776"/>
      <c r="N139" s="845"/>
      <c r="O139" s="774"/>
      <c r="P139" s="774"/>
      <c r="Q139" s="774"/>
      <c r="R139" s="777"/>
    </row>
    <row r="140" spans="1:18" s="771" customFormat="1" ht="15" hidden="1">
      <c r="A140" s="770" t="s">
        <v>1389</v>
      </c>
      <c r="B140" s="1748" t="s">
        <v>1143</v>
      </c>
      <c r="C140" s="1748"/>
      <c r="D140" s="1748"/>
      <c r="E140" s="1748"/>
      <c r="F140" s="1748"/>
      <c r="H140" s="772"/>
      <c r="I140" s="773">
        <v>0</v>
      </c>
      <c r="J140" s="772"/>
      <c r="K140" s="774"/>
      <c r="L140" s="775"/>
      <c r="M140" s="776"/>
      <c r="N140" s="845"/>
      <c r="O140" s="774"/>
      <c r="P140" s="774"/>
      <c r="Q140" s="774"/>
      <c r="R140" s="777"/>
    </row>
    <row r="141" spans="1:18" s="771" customFormat="1" ht="15" hidden="1">
      <c r="A141" s="770" t="s">
        <v>1389</v>
      </c>
      <c r="B141" s="1748" t="s">
        <v>1144</v>
      </c>
      <c r="C141" s="1748"/>
      <c r="D141" s="1748"/>
      <c r="E141" s="1748"/>
      <c r="F141" s="1748"/>
      <c r="H141" s="772"/>
      <c r="I141" s="773">
        <v>0</v>
      </c>
      <c r="J141" s="772"/>
      <c r="K141" s="774"/>
      <c r="L141" s="775"/>
      <c r="M141" s="776"/>
      <c r="N141" s="845"/>
      <c r="O141" s="774"/>
      <c r="P141" s="774"/>
      <c r="Q141" s="774"/>
      <c r="R141" s="777"/>
    </row>
    <row r="142" spans="1:18" s="771" customFormat="1" ht="15" hidden="1">
      <c r="A142" s="770" t="s">
        <v>1389</v>
      </c>
      <c r="B142" s="1748" t="s">
        <v>1145</v>
      </c>
      <c r="C142" s="1748"/>
      <c r="D142" s="1748"/>
      <c r="E142" s="1748"/>
      <c r="F142" s="1748"/>
      <c r="H142" s="772"/>
      <c r="I142" s="773">
        <v>0</v>
      </c>
      <c r="J142" s="772"/>
      <c r="K142" s="774"/>
      <c r="L142" s="778"/>
      <c r="M142" s="776"/>
      <c r="N142" s="845"/>
      <c r="O142" s="774"/>
      <c r="P142" s="774"/>
      <c r="Q142" s="774"/>
      <c r="R142" s="777"/>
    </row>
    <row r="143" spans="1:18" s="155" customFormat="1" ht="31.5" hidden="1">
      <c r="A143" s="579" t="s">
        <v>319</v>
      </c>
      <c r="B143" s="568" t="s">
        <v>795</v>
      </c>
      <c r="C143" s="568"/>
      <c r="D143" s="568"/>
      <c r="E143" s="568"/>
      <c r="F143" s="568"/>
      <c r="G143" s="563"/>
      <c r="H143" s="1159" t="s">
        <v>848</v>
      </c>
      <c r="I143" s="581"/>
      <c r="J143" s="1159" t="s">
        <v>847</v>
      </c>
      <c r="L143" s="518" t="s">
        <v>884</v>
      </c>
      <c r="M143" s="157"/>
      <c r="N143" s="518" t="s">
        <v>885</v>
      </c>
      <c r="R143" s="518"/>
    </row>
    <row r="144" spans="1:18" s="155" customFormat="1" ht="3.75" hidden="1" customHeight="1">
      <c r="A144" s="579"/>
      <c r="B144" s="568"/>
      <c r="C144" s="568"/>
      <c r="D144" s="568"/>
      <c r="E144" s="568"/>
      <c r="F144" s="568"/>
      <c r="G144" s="563"/>
      <c r="H144" s="896"/>
      <c r="I144" s="581"/>
      <c r="J144" s="896"/>
      <c r="L144" s="518"/>
      <c r="M144" s="157"/>
      <c r="N144" s="518"/>
      <c r="R144" s="518"/>
    </row>
    <row r="145" spans="1:18" s="155" customFormat="1" ht="17.25" hidden="1" customHeight="1">
      <c r="B145" s="531" t="s">
        <v>173</v>
      </c>
      <c r="C145" s="519"/>
      <c r="D145" s="519"/>
      <c r="E145" s="519"/>
      <c r="F145" s="1502" t="s">
        <v>111</v>
      </c>
      <c r="G145" s="519"/>
      <c r="H145" s="156">
        <v>40801459843</v>
      </c>
      <c r="I145" s="567"/>
      <c r="J145" s="156">
        <v>81300388175</v>
      </c>
      <c r="L145" s="518">
        <v>61359863273</v>
      </c>
      <c r="M145" s="157"/>
      <c r="N145" s="518">
        <f>19940524902</f>
        <v>19940524902</v>
      </c>
      <c r="O145" s="1294">
        <f t="shared" ref="O145:O150" si="0">L145+N145</f>
        <v>81300388175</v>
      </c>
      <c r="R145" s="518"/>
    </row>
    <row r="146" spans="1:18" s="155" customFormat="1" ht="15.75" hidden="1">
      <c r="B146" s="531" t="s">
        <v>1556</v>
      </c>
      <c r="C146" s="519"/>
      <c r="D146" s="519"/>
      <c r="E146" s="519"/>
      <c r="F146" s="519"/>
      <c r="G146" s="519"/>
      <c r="H146" s="156">
        <v>16140291840</v>
      </c>
      <c r="I146" s="567"/>
      <c r="J146" s="156">
        <v>12670213151</v>
      </c>
      <c r="L146" s="568">
        <v>9115641093</v>
      </c>
      <c r="M146" s="157"/>
      <c r="N146" s="518">
        <f>2406641250+1147930808</f>
        <v>3554572058</v>
      </c>
      <c r="O146" s="1294">
        <f t="shared" si="0"/>
        <v>12670213151</v>
      </c>
      <c r="R146" s="518"/>
    </row>
    <row r="147" spans="1:18" s="155" customFormat="1" ht="15.75" hidden="1">
      <c r="B147" s="531" t="s">
        <v>1568</v>
      </c>
      <c r="C147" s="519"/>
      <c r="D147" s="519"/>
      <c r="E147" s="519"/>
      <c r="F147" s="519"/>
      <c r="G147" s="519"/>
      <c r="H147" s="156">
        <v>6430465608</v>
      </c>
      <c r="I147" s="567"/>
      <c r="J147" s="156">
        <v>870904018</v>
      </c>
      <c r="L147" s="568">
        <v>369168156</v>
      </c>
      <c r="M147" s="157"/>
      <c r="N147" s="518">
        <v>501735862</v>
      </c>
      <c r="O147" s="1294">
        <f t="shared" si="0"/>
        <v>870904018</v>
      </c>
      <c r="R147" s="518"/>
    </row>
    <row r="148" spans="1:18" s="155" customFormat="1" ht="15.75" hidden="1">
      <c r="B148" s="531" t="s">
        <v>960</v>
      </c>
      <c r="C148" s="519"/>
      <c r="D148" s="519"/>
      <c r="E148" s="519"/>
      <c r="F148" s="519"/>
      <c r="G148" s="519"/>
      <c r="H148" s="156">
        <f>8679168+198609618+509216870</f>
        <v>716505656</v>
      </c>
      <c r="I148" s="567"/>
      <c r="J148" s="156">
        <v>294609630</v>
      </c>
      <c r="L148" s="518">
        <v>5618748</v>
      </c>
      <c r="M148" s="157"/>
      <c r="N148" s="518">
        <v>288990882</v>
      </c>
      <c r="O148" s="1294">
        <f t="shared" si="0"/>
        <v>294609630</v>
      </c>
      <c r="R148" s="518"/>
    </row>
    <row r="149" spans="1:18" s="155" customFormat="1" ht="15.75" hidden="1">
      <c r="B149" s="531" t="s">
        <v>174</v>
      </c>
      <c r="C149" s="519"/>
      <c r="D149" s="519"/>
      <c r="E149" s="519"/>
      <c r="F149" s="519"/>
      <c r="G149" s="519"/>
      <c r="H149" s="156">
        <f>701843734+2768917786+2496592884</f>
        <v>5967354404</v>
      </c>
      <c r="I149" s="567"/>
      <c r="J149" s="156">
        <v>17300727784</v>
      </c>
      <c r="L149" s="518">
        <v>5205189326</v>
      </c>
      <c r="M149" s="157"/>
      <c r="N149" s="518">
        <f>482513356+11613025102</f>
        <v>12095538458</v>
      </c>
      <c r="O149" s="1294">
        <f t="shared" si="0"/>
        <v>17300727784</v>
      </c>
      <c r="R149" s="518"/>
    </row>
    <row r="150" spans="1:18" s="155" customFormat="1" ht="16.5" hidden="1" thickBot="1">
      <c r="B150" s="531" t="s">
        <v>175</v>
      </c>
      <c r="C150" s="519"/>
      <c r="D150" s="519"/>
      <c r="E150" s="519"/>
      <c r="F150" s="519"/>
      <c r="G150" s="519"/>
      <c r="H150" s="156">
        <v>1653040046</v>
      </c>
      <c r="I150" s="567"/>
      <c r="J150" s="156">
        <v>613209559</v>
      </c>
      <c r="L150" s="518">
        <v>613209559</v>
      </c>
      <c r="M150" s="157"/>
      <c r="N150" s="518"/>
      <c r="O150" s="1294">
        <f t="shared" si="0"/>
        <v>613209559</v>
      </c>
      <c r="R150" s="518"/>
    </row>
    <row r="151" spans="1:18" s="155" customFormat="1" ht="21" hidden="1" customHeight="1">
      <c r="B151" s="566" t="s">
        <v>1385</v>
      </c>
      <c r="C151" s="519"/>
      <c r="D151" s="519"/>
      <c r="E151" s="519"/>
      <c r="F151" s="519"/>
      <c r="G151" s="519"/>
      <c r="H151" s="156"/>
      <c r="I151" s="567"/>
      <c r="J151" s="156">
        <v>0</v>
      </c>
      <c r="L151" s="518"/>
      <c r="M151" s="157"/>
      <c r="N151" s="518"/>
      <c r="R151" s="518"/>
    </row>
    <row r="152" spans="1:18" s="155" customFormat="1" ht="8.25" hidden="1" customHeight="1" thickBot="1">
      <c r="B152" s="591"/>
      <c r="C152" s="573"/>
      <c r="D152" s="573"/>
      <c r="E152" s="573"/>
      <c r="F152" s="573"/>
      <c r="G152" s="573"/>
      <c r="H152" s="527"/>
      <c r="I152" s="567"/>
      <c r="J152" s="156"/>
      <c r="L152" s="518"/>
      <c r="M152" s="157"/>
      <c r="N152" s="518"/>
      <c r="R152" s="518"/>
    </row>
    <row r="153" spans="1:18" s="155" customFormat="1" ht="18" hidden="1" customHeight="1" thickBot="1">
      <c r="B153" s="578" t="s">
        <v>1571</v>
      </c>
      <c r="C153" s="564"/>
      <c r="D153" s="564"/>
      <c r="E153" s="564"/>
      <c r="F153" s="564"/>
      <c r="G153" s="563"/>
      <c r="H153" s="588">
        <f>SUM(H145:H152)</f>
        <v>71709117397</v>
      </c>
      <c r="I153" s="569"/>
      <c r="J153" s="588">
        <f>SUM(J145:J152)</f>
        <v>113050052317</v>
      </c>
      <c r="L153" s="1504">
        <v>69475284910</v>
      </c>
      <c r="M153" s="157"/>
      <c r="N153" s="518"/>
      <c r="O153" s="1294">
        <f>SUM(O145:O152)</f>
        <v>113050052317</v>
      </c>
      <c r="R153" s="518"/>
    </row>
    <row r="154" spans="1:18" s="155" customFormat="1" ht="6.75" customHeight="1">
      <c r="B154" s="571"/>
      <c r="H154" s="156"/>
      <c r="I154" s="156"/>
      <c r="J154" s="156"/>
      <c r="L154" s="518"/>
      <c r="M154" s="157"/>
      <c r="N154" s="518"/>
      <c r="R154" s="518"/>
    </row>
    <row r="155" spans="1:18" s="157" customFormat="1" ht="20.25" hidden="1" customHeight="1">
      <c r="A155" s="157" t="s">
        <v>1412</v>
      </c>
      <c r="B155" s="572" t="s">
        <v>1146</v>
      </c>
      <c r="H155" s="158"/>
      <c r="I155" s="158"/>
      <c r="J155" s="158"/>
      <c r="L155" s="518"/>
      <c r="N155" s="518"/>
      <c r="R155" s="518"/>
    </row>
    <row r="156" spans="1:18" s="155" customFormat="1" ht="33.75" hidden="1" customHeight="1">
      <c r="A156" s="900" t="s">
        <v>1147</v>
      </c>
      <c r="B156" s="1764" t="s">
        <v>1542</v>
      </c>
      <c r="C156" s="1764"/>
      <c r="D156" s="1764"/>
      <c r="E156" s="1764"/>
      <c r="F156" s="1764"/>
      <c r="G156" s="1764"/>
      <c r="H156" s="1764"/>
      <c r="I156" s="1764"/>
      <c r="J156" s="1764"/>
      <c r="L156" s="518"/>
      <c r="M156" s="157"/>
      <c r="N156" s="518"/>
      <c r="R156" s="518"/>
    </row>
    <row r="157" spans="1:18" s="155" customFormat="1" ht="15.75" hidden="1" customHeight="1">
      <c r="B157" s="571" t="s">
        <v>1541</v>
      </c>
      <c r="H157" s="896"/>
      <c r="I157" s="581"/>
      <c r="J157" s="896"/>
      <c r="L157" s="518"/>
      <c r="M157" s="157"/>
      <c r="N157" s="518"/>
      <c r="R157" s="518"/>
    </row>
    <row r="158" spans="1:18" s="155" customFormat="1" ht="36" hidden="1" customHeight="1">
      <c r="A158" s="901" t="s">
        <v>1414</v>
      </c>
      <c r="B158" s="1733" t="s">
        <v>598</v>
      </c>
      <c r="C158" s="1733"/>
      <c r="D158" s="1733"/>
      <c r="E158" s="1733"/>
      <c r="F158" s="1733"/>
      <c r="H158" s="156">
        <v>0</v>
      </c>
      <c r="I158" s="156"/>
      <c r="J158" s="156">
        <v>0</v>
      </c>
      <c r="L158" s="518"/>
      <c r="M158" s="157"/>
      <c r="N158" s="518"/>
      <c r="R158" s="518"/>
    </row>
    <row r="159" spans="1:18" s="155" customFormat="1" ht="17.25" hidden="1" customHeight="1">
      <c r="A159" s="901" t="s">
        <v>599</v>
      </c>
      <c r="B159" s="1733" t="s">
        <v>600</v>
      </c>
      <c r="C159" s="1733"/>
      <c r="D159" s="1733"/>
      <c r="E159" s="1733"/>
      <c r="F159" s="1733"/>
      <c r="H159" s="156">
        <v>0</v>
      </c>
      <c r="I159" s="156"/>
      <c r="J159" s="156">
        <v>0</v>
      </c>
      <c r="L159" s="518"/>
      <c r="M159" s="157"/>
      <c r="N159" s="518"/>
      <c r="R159" s="518"/>
    </row>
    <row r="160" spans="1:18" s="155" customFormat="1" ht="17.25" hidden="1" customHeight="1">
      <c r="A160" s="902" t="s">
        <v>1389</v>
      </c>
      <c r="B160" s="1733" t="s">
        <v>601</v>
      </c>
      <c r="C160" s="1733"/>
      <c r="D160" s="1733"/>
      <c r="E160" s="1733"/>
      <c r="F160" s="1733"/>
      <c r="H160" s="156">
        <v>0</v>
      </c>
      <c r="I160" s="156"/>
      <c r="J160" s="156">
        <v>0</v>
      </c>
      <c r="L160" s="518"/>
      <c r="M160" s="157"/>
      <c r="N160" s="518"/>
      <c r="R160" s="518"/>
    </row>
    <row r="161" spans="1:18" s="155" customFormat="1" ht="36" hidden="1" customHeight="1">
      <c r="A161" s="901" t="s">
        <v>1415</v>
      </c>
      <c r="B161" s="1743" t="s">
        <v>602</v>
      </c>
      <c r="C161" s="1743"/>
      <c r="D161" s="1743"/>
      <c r="E161" s="1743"/>
      <c r="F161" s="1743"/>
      <c r="H161" s="156">
        <v>0</v>
      </c>
      <c r="I161" s="156"/>
      <c r="J161" s="156">
        <v>0</v>
      </c>
      <c r="L161" s="518"/>
      <c r="M161" s="157"/>
      <c r="N161" s="518"/>
      <c r="R161" s="518"/>
    </row>
    <row r="162" spans="1:18" s="155" customFormat="1" ht="17.25" hidden="1" customHeight="1">
      <c r="A162" s="901" t="s">
        <v>599</v>
      </c>
      <c r="B162" s="1733" t="s">
        <v>603</v>
      </c>
      <c r="C162" s="1733"/>
      <c r="D162" s="1733"/>
      <c r="E162" s="1733"/>
      <c r="F162" s="1733"/>
      <c r="H162" s="156">
        <v>0</v>
      </c>
      <c r="I162" s="156"/>
      <c r="J162" s="156">
        <v>0</v>
      </c>
      <c r="L162" s="518"/>
      <c r="M162" s="157"/>
      <c r="N162" s="518"/>
      <c r="R162" s="518"/>
    </row>
    <row r="163" spans="1:18" s="155" customFormat="1" ht="36" hidden="1" customHeight="1">
      <c r="A163" s="902" t="s">
        <v>1389</v>
      </c>
      <c r="B163" s="1733" t="s">
        <v>604</v>
      </c>
      <c r="C163" s="1733"/>
      <c r="D163" s="1733"/>
      <c r="E163" s="1733"/>
      <c r="F163" s="1733"/>
      <c r="H163" s="156">
        <v>10843009</v>
      </c>
      <c r="I163" s="156"/>
      <c r="J163" s="156">
        <v>0</v>
      </c>
      <c r="L163" s="518"/>
      <c r="M163" s="157"/>
      <c r="N163" s="518"/>
      <c r="R163" s="518"/>
    </row>
    <row r="164" spans="1:18" s="155" customFormat="1" ht="51.75" hidden="1" customHeight="1">
      <c r="A164" s="901" t="s">
        <v>599</v>
      </c>
      <c r="B164" s="1733" t="s">
        <v>1659</v>
      </c>
      <c r="C164" s="1733"/>
      <c r="D164" s="1733"/>
      <c r="E164" s="1733"/>
      <c r="F164" s="1733"/>
      <c r="H164" s="156">
        <v>29961315</v>
      </c>
      <c r="I164" s="156"/>
      <c r="J164" s="156">
        <v>0</v>
      </c>
      <c r="L164" s="518"/>
      <c r="M164" s="157"/>
      <c r="N164" s="518"/>
      <c r="R164" s="518"/>
    </row>
    <row r="165" spans="1:18" s="155" customFormat="1" ht="69" hidden="1" customHeight="1">
      <c r="A165" s="902" t="s">
        <v>1389</v>
      </c>
      <c r="B165" s="1733" t="s">
        <v>1660</v>
      </c>
      <c r="C165" s="1733"/>
      <c r="D165" s="1733"/>
      <c r="E165" s="1733"/>
      <c r="F165" s="1733"/>
      <c r="H165" s="156">
        <v>10085465</v>
      </c>
      <c r="I165" s="156"/>
      <c r="J165" s="156">
        <v>0</v>
      </c>
      <c r="L165" s="518"/>
      <c r="M165" s="157"/>
      <c r="N165" s="518"/>
      <c r="R165" s="518"/>
    </row>
    <row r="166" spans="1:18" s="155" customFormat="1" ht="77.25" hidden="1" customHeight="1">
      <c r="A166" s="901" t="s">
        <v>1355</v>
      </c>
      <c r="B166" s="1743" t="s">
        <v>1342</v>
      </c>
      <c r="C166" s="1743"/>
      <c r="D166" s="1743"/>
      <c r="E166" s="1743"/>
      <c r="F166" s="1743"/>
      <c r="H166" s="156">
        <v>322394</v>
      </c>
      <c r="I166" s="156"/>
      <c r="J166" s="156">
        <v>0</v>
      </c>
      <c r="L166" s="518"/>
      <c r="M166" s="157"/>
      <c r="N166" s="518"/>
      <c r="R166" s="518"/>
    </row>
    <row r="167" spans="1:18" s="155" customFormat="1" ht="17.25">
      <c r="A167" s="157" t="s">
        <v>1412</v>
      </c>
      <c r="B167" s="1137" t="s">
        <v>1413</v>
      </c>
      <c r="C167" s="572"/>
      <c r="D167" s="572"/>
      <c r="E167" s="572"/>
      <c r="F167" s="572"/>
      <c r="G167" s="572"/>
      <c r="H167" s="572"/>
      <c r="I167" s="572"/>
      <c r="J167" s="572"/>
      <c r="L167" s="518"/>
      <c r="M167" s="157"/>
      <c r="N167" s="518"/>
      <c r="R167" s="518"/>
    </row>
    <row r="168" spans="1:18" s="155" customFormat="1" ht="15.75" hidden="1">
      <c r="A168" s="1138" t="s">
        <v>662</v>
      </c>
      <c r="B168" s="572" t="s">
        <v>1583</v>
      </c>
      <c r="C168" s="572"/>
      <c r="D168" s="572"/>
      <c r="E168" s="572"/>
      <c r="F168" s="572"/>
      <c r="G168" s="572"/>
      <c r="H168" s="572"/>
      <c r="I168" s="572"/>
      <c r="J168" s="572"/>
      <c r="L168" s="518"/>
      <c r="M168" s="157"/>
      <c r="N168" s="518"/>
      <c r="R168" s="518"/>
    </row>
    <row r="169" spans="1:18" s="155" customFormat="1" ht="15.75" hidden="1">
      <c r="A169" s="1138"/>
      <c r="B169" s="894" t="s">
        <v>1584</v>
      </c>
      <c r="C169" s="572"/>
      <c r="D169" s="572"/>
      <c r="E169" s="572"/>
      <c r="F169" s="572"/>
      <c r="G169" s="572"/>
      <c r="H169" s="572"/>
      <c r="I169" s="572"/>
      <c r="J169" s="572"/>
      <c r="L169" s="518"/>
      <c r="M169" s="157"/>
      <c r="N169" s="518"/>
      <c r="R169" s="518"/>
    </row>
    <row r="170" spans="1:18" s="155" customFormat="1" ht="15.75" hidden="1">
      <c r="A170" s="1306" t="s">
        <v>664</v>
      </c>
      <c r="B170" s="1307" t="s">
        <v>1343</v>
      </c>
      <c r="C170" s="1307"/>
      <c r="D170" s="1307"/>
      <c r="E170" s="1307"/>
      <c r="F170" s="1307"/>
      <c r="G170" s="1307"/>
      <c r="H170" s="1307"/>
      <c r="I170" s="1307"/>
      <c r="J170" s="1307"/>
      <c r="L170" s="518"/>
      <c r="M170" s="157"/>
      <c r="N170" s="518"/>
      <c r="R170" s="518"/>
    </row>
    <row r="171" spans="1:18" s="155" customFormat="1" ht="8.25" customHeight="1">
      <c r="A171" s="157"/>
      <c r="B171" s="572"/>
      <c r="C171" s="572"/>
      <c r="D171" s="572"/>
      <c r="E171" s="572"/>
      <c r="F171" s="572"/>
      <c r="G171" s="572"/>
      <c r="H171" s="572"/>
      <c r="I171" s="572"/>
      <c r="J171" s="572"/>
      <c r="L171" s="518"/>
      <c r="M171" s="157"/>
      <c r="N171" s="518"/>
      <c r="R171" s="518"/>
    </row>
    <row r="172" spans="1:18" s="155" customFormat="1" ht="15.75">
      <c r="A172" s="157">
        <v>1</v>
      </c>
      <c r="B172" s="572" t="s">
        <v>1019</v>
      </c>
      <c r="C172" s="572"/>
      <c r="D172" s="572"/>
      <c r="E172" s="572"/>
      <c r="F172" s="572"/>
      <c r="G172" s="572"/>
      <c r="H172" s="572"/>
      <c r="I172" s="572"/>
      <c r="J172" s="572"/>
      <c r="L172" s="518"/>
      <c r="M172" s="157"/>
      <c r="N172" s="518"/>
      <c r="R172" s="518"/>
    </row>
    <row r="173" spans="1:18" s="155" customFormat="1" ht="15.75">
      <c r="A173" s="157" t="s">
        <v>360</v>
      </c>
      <c r="B173" s="572" t="s">
        <v>1020</v>
      </c>
      <c r="C173" s="572"/>
      <c r="D173" s="572"/>
      <c r="E173" s="572"/>
      <c r="F173" s="572"/>
      <c r="G173" s="572"/>
      <c r="H173" s="572"/>
      <c r="I173" s="572"/>
      <c r="J173" s="572"/>
      <c r="L173" s="518"/>
      <c r="M173" s="157"/>
      <c r="N173" s="518"/>
      <c r="R173" s="518"/>
    </row>
    <row r="174" spans="1:18" s="155" customFormat="1" ht="42" customHeight="1">
      <c r="B174" s="1746" t="s">
        <v>1021</v>
      </c>
      <c r="C174" s="1746"/>
      <c r="D174" s="1746"/>
      <c r="E174" s="1746"/>
      <c r="F174" s="1746"/>
      <c r="G174" s="1746"/>
      <c r="H174" s="1746"/>
      <c r="I174" s="1746"/>
      <c r="J174" s="1746"/>
      <c r="L174" s="519"/>
      <c r="N174" s="519"/>
      <c r="R174" s="519"/>
    </row>
    <row r="175" spans="1:18" s="155" customFormat="1" ht="24" customHeight="1">
      <c r="B175" s="1746" t="s">
        <v>1022</v>
      </c>
      <c r="C175" s="1746"/>
      <c r="D175" s="1746"/>
      <c r="E175" s="1746"/>
      <c r="F175" s="1746"/>
      <c r="G175" s="1746"/>
      <c r="H175" s="1746"/>
      <c r="I175" s="1746"/>
      <c r="J175" s="1746"/>
      <c r="L175" s="519"/>
      <c r="N175" s="519"/>
      <c r="R175" s="519"/>
    </row>
    <row r="176" spans="1:18" s="155" customFormat="1" ht="15.75">
      <c r="B176" s="572" t="s">
        <v>1023</v>
      </c>
      <c r="C176" s="571"/>
      <c r="D176" s="571"/>
      <c r="E176" s="571"/>
      <c r="F176" s="571"/>
      <c r="G176" s="571"/>
      <c r="H176" s="571"/>
      <c r="I176" s="571"/>
      <c r="J176" s="571"/>
      <c r="L176" s="519"/>
      <c r="N176" s="519"/>
      <c r="R176" s="519"/>
    </row>
    <row r="177" spans="1:18" s="155" customFormat="1" ht="35.25" customHeight="1">
      <c r="B177" s="1746" t="s">
        <v>1024</v>
      </c>
      <c r="C177" s="1746"/>
      <c r="D177" s="1746"/>
      <c r="E177" s="1746"/>
      <c r="F177" s="1746"/>
      <c r="G177" s="1746"/>
      <c r="H177" s="1746"/>
      <c r="I177" s="1746"/>
      <c r="J177" s="1746"/>
      <c r="L177" s="519"/>
      <c r="N177" s="519"/>
      <c r="R177" s="519"/>
    </row>
    <row r="178" spans="1:18" s="155" customFormat="1" ht="15.75">
      <c r="B178" s="571"/>
      <c r="C178" s="571"/>
      <c r="D178" s="571"/>
      <c r="E178" s="571"/>
      <c r="F178" s="571"/>
      <c r="G178" s="571"/>
      <c r="H178" s="1520" t="s">
        <v>1025</v>
      </c>
      <c r="I178" s="572"/>
      <c r="J178" s="1520" t="s">
        <v>1026</v>
      </c>
      <c r="L178" s="519"/>
      <c r="N178" s="519"/>
      <c r="R178" s="519"/>
    </row>
    <row r="179" spans="1:18" s="155" customFormat="1" ht="9.75" customHeight="1">
      <c r="B179" s="571"/>
      <c r="C179" s="571"/>
      <c r="D179" s="571"/>
      <c r="E179" s="571"/>
      <c r="F179" s="571"/>
      <c r="G179" s="571"/>
      <c r="H179" s="572"/>
      <c r="I179" s="572"/>
      <c r="J179" s="572"/>
      <c r="L179" s="519"/>
      <c r="N179" s="519"/>
      <c r="R179" s="519"/>
    </row>
    <row r="180" spans="1:18" s="155" customFormat="1" ht="16.5" customHeight="1">
      <c r="B180" s="1465" t="s">
        <v>1027</v>
      </c>
      <c r="C180" s="571"/>
      <c r="D180" s="571"/>
      <c r="E180" s="571"/>
      <c r="F180" s="571"/>
      <c r="G180" s="571"/>
      <c r="H180" s="156">
        <v>28654144126</v>
      </c>
      <c r="I180" s="571"/>
      <c r="J180" s="156">
        <v>28654144126</v>
      </c>
      <c r="L180" s="519"/>
      <c r="N180" s="519"/>
      <c r="R180" s="519"/>
    </row>
    <row r="181" spans="1:18" s="155" customFormat="1" ht="16.5" customHeight="1">
      <c r="B181" s="1465" t="s">
        <v>1028</v>
      </c>
      <c r="C181" s="571"/>
      <c r="D181" s="571"/>
      <c r="E181" s="571"/>
      <c r="F181" s="571"/>
      <c r="G181" s="571"/>
      <c r="H181" s="156">
        <v>0</v>
      </c>
      <c r="I181" s="156"/>
      <c r="J181" s="156">
        <v>0</v>
      </c>
      <c r="L181" s="519"/>
      <c r="N181" s="519"/>
      <c r="R181" s="519"/>
    </row>
    <row r="182" spans="1:18" s="155" customFormat="1" ht="16.5" customHeight="1">
      <c r="B182" s="1465" t="s">
        <v>1662</v>
      </c>
      <c r="C182" s="571"/>
      <c r="D182" s="571"/>
      <c r="E182" s="571"/>
      <c r="F182" s="571"/>
      <c r="G182" s="571"/>
      <c r="H182" s="156">
        <v>8386931025</v>
      </c>
      <c r="I182" s="156"/>
      <c r="J182" s="156">
        <f>BS!L16</f>
        <v>3559012000</v>
      </c>
      <c r="L182" s="519"/>
      <c r="N182" s="519"/>
      <c r="R182" s="519"/>
    </row>
    <row r="183" spans="1:18" s="155" customFormat="1" ht="16.5" customHeight="1">
      <c r="B183" s="1465" t="s">
        <v>1029</v>
      </c>
      <c r="C183" s="571"/>
      <c r="D183" s="571"/>
      <c r="E183" s="571"/>
      <c r="F183" s="571"/>
      <c r="G183" s="571"/>
      <c r="H183" s="156">
        <f>BS!L19-BS!L25</f>
        <v>384732252426</v>
      </c>
      <c r="I183" s="156"/>
      <c r="J183" s="156">
        <f>BS!L19</f>
        <v>384207106271</v>
      </c>
      <c r="L183" s="519"/>
      <c r="N183" s="519"/>
      <c r="R183" s="519"/>
    </row>
    <row r="184" spans="1:18" s="155" customFormat="1" ht="5.25" customHeight="1">
      <c r="B184" s="1465"/>
      <c r="C184" s="571"/>
      <c r="D184" s="571"/>
      <c r="E184" s="571"/>
      <c r="F184" s="571"/>
      <c r="G184" s="571"/>
      <c r="H184" s="156"/>
      <c r="I184" s="156"/>
      <c r="J184" s="156"/>
      <c r="L184" s="519"/>
      <c r="N184" s="519"/>
      <c r="R184" s="519"/>
    </row>
    <row r="185" spans="1:18" s="157" customFormat="1" ht="15.75">
      <c r="A185" s="157" t="s">
        <v>364</v>
      </c>
      <c r="B185" s="1466" t="s">
        <v>1030</v>
      </c>
      <c r="C185" s="572"/>
      <c r="D185" s="572"/>
      <c r="E185" s="572"/>
      <c r="F185" s="572"/>
      <c r="G185" s="572"/>
      <c r="H185" s="158"/>
      <c r="I185" s="158"/>
      <c r="J185" s="158"/>
      <c r="L185" s="518"/>
      <c r="N185" s="518"/>
      <c r="R185" s="518"/>
    </row>
    <row r="186" spans="1:18" s="155" customFormat="1" ht="66" customHeight="1">
      <c r="B186" s="1746" t="s">
        <v>1031</v>
      </c>
      <c r="C186" s="1746"/>
      <c r="D186" s="1746"/>
      <c r="E186" s="1746"/>
      <c r="F186" s="1746"/>
      <c r="G186" s="1746"/>
      <c r="H186" s="1746"/>
      <c r="I186" s="1746"/>
      <c r="J186" s="1746"/>
      <c r="L186" s="519"/>
      <c r="N186" s="519"/>
      <c r="R186" s="519"/>
    </row>
    <row r="187" spans="1:18" s="155" customFormat="1" ht="15.75">
      <c r="B187" s="1465"/>
      <c r="C187" s="571"/>
      <c r="D187" s="571"/>
      <c r="E187" s="571"/>
      <c r="F187" s="571"/>
      <c r="G187" s="571"/>
      <c r="H187" s="156"/>
      <c r="I187" s="156"/>
      <c r="J187" s="158" t="s">
        <v>112</v>
      </c>
      <c r="L187" s="519"/>
      <c r="N187" s="519"/>
      <c r="R187" s="519"/>
    </row>
    <row r="188" spans="1:18" s="155" customFormat="1" ht="8.25" customHeight="1">
      <c r="B188" s="1465"/>
      <c r="C188" s="571"/>
      <c r="D188" s="571"/>
      <c r="E188" s="571"/>
      <c r="F188" s="571"/>
      <c r="G188" s="571"/>
      <c r="H188" s="156"/>
      <c r="I188" s="156"/>
      <c r="J188" s="158"/>
      <c r="L188" s="519"/>
      <c r="N188" s="519"/>
      <c r="R188" s="519"/>
    </row>
    <row r="189" spans="1:18" s="155" customFormat="1" ht="15">
      <c r="B189" s="1465" t="s">
        <v>1033</v>
      </c>
      <c r="C189" s="571"/>
      <c r="D189" s="571"/>
      <c r="E189" s="571"/>
      <c r="F189" s="571"/>
      <c r="G189" s="571"/>
      <c r="H189" s="156"/>
      <c r="I189" s="156"/>
      <c r="J189" s="156">
        <f>BS!L93+BS!L77</f>
        <v>206857127968</v>
      </c>
      <c r="L189" s="519"/>
      <c r="N189" s="519"/>
      <c r="R189" s="519"/>
    </row>
    <row r="190" spans="1:18" s="155" customFormat="1" ht="15">
      <c r="B190" s="1465" t="s">
        <v>1032</v>
      </c>
      <c r="C190" s="571"/>
      <c r="D190" s="571"/>
      <c r="E190" s="571"/>
      <c r="F190" s="571"/>
      <c r="G190" s="571"/>
      <c r="H190" s="156"/>
      <c r="I190" s="156"/>
      <c r="J190" s="156">
        <f>BS!L78</f>
        <v>176205746042</v>
      </c>
      <c r="L190" s="519"/>
      <c r="N190" s="519"/>
      <c r="R190" s="519"/>
    </row>
    <row r="191" spans="1:18" s="155" customFormat="1" ht="15">
      <c r="B191" s="1465"/>
      <c r="C191" s="571"/>
      <c r="D191" s="571"/>
      <c r="E191" s="571"/>
      <c r="F191" s="571"/>
      <c r="G191" s="571"/>
      <c r="H191" s="156"/>
      <c r="I191" s="156"/>
      <c r="J191" s="156"/>
      <c r="L191" s="519"/>
      <c r="N191" s="519"/>
      <c r="R191" s="519"/>
    </row>
    <row r="192" spans="1:18" s="155" customFormat="1" ht="15.75">
      <c r="A192" s="157" t="s">
        <v>185</v>
      </c>
      <c r="B192" s="1466" t="s">
        <v>1034</v>
      </c>
      <c r="C192" s="571"/>
      <c r="D192" s="571"/>
      <c r="E192" s="571"/>
      <c r="F192" s="571"/>
      <c r="G192" s="571"/>
      <c r="H192" s="156"/>
      <c r="I192" s="156"/>
      <c r="J192" s="156"/>
      <c r="L192" s="519"/>
      <c r="N192" s="519"/>
      <c r="R192" s="519"/>
    </row>
    <row r="193" spans="1:18" s="155" customFormat="1" ht="73.5" customHeight="1">
      <c r="B193" s="1746" t="s">
        <v>1035</v>
      </c>
      <c r="C193" s="1746"/>
      <c r="D193" s="1746"/>
      <c r="E193" s="1746"/>
      <c r="F193" s="1746"/>
      <c r="G193" s="1746"/>
      <c r="H193" s="1746"/>
      <c r="I193" s="1746"/>
      <c r="J193" s="1746"/>
      <c r="L193" s="519"/>
      <c r="N193" s="519"/>
      <c r="R193" s="519"/>
    </row>
    <row r="194" spans="1:18" s="155" customFormat="1" ht="85.5" customHeight="1">
      <c r="B194" s="1746" t="s">
        <v>1036</v>
      </c>
      <c r="C194" s="1746"/>
      <c r="D194" s="1746"/>
      <c r="E194" s="1746"/>
      <c r="F194" s="1746"/>
      <c r="G194" s="1746"/>
      <c r="H194" s="1746"/>
      <c r="I194" s="1746"/>
      <c r="J194" s="1746"/>
      <c r="L194" s="519"/>
      <c r="N194" s="519"/>
      <c r="R194" s="519"/>
    </row>
    <row r="195" spans="1:18" s="155" customFormat="1" ht="6" customHeight="1">
      <c r="B195" s="1465"/>
      <c r="C195" s="571"/>
      <c r="D195" s="571"/>
      <c r="E195" s="571"/>
      <c r="F195" s="571"/>
      <c r="G195" s="571"/>
      <c r="H195" s="156"/>
      <c r="I195" s="156"/>
      <c r="J195" s="156"/>
      <c r="L195" s="519"/>
      <c r="N195" s="519"/>
      <c r="R195" s="519"/>
    </row>
    <row r="196" spans="1:18" s="155" customFormat="1" ht="82.5" customHeight="1">
      <c r="B196" s="1746" t="s">
        <v>1037</v>
      </c>
      <c r="C196" s="1746"/>
      <c r="D196" s="1746"/>
      <c r="E196" s="1746"/>
      <c r="F196" s="1746"/>
      <c r="G196" s="1746"/>
      <c r="H196" s="1746"/>
      <c r="I196" s="1746"/>
      <c r="J196" s="1746"/>
      <c r="L196" s="519"/>
      <c r="N196" s="519"/>
      <c r="R196" s="519"/>
    </row>
    <row r="197" spans="1:18" s="155" customFormat="1" ht="9.75" customHeight="1">
      <c r="B197" s="1422"/>
      <c r="C197" s="1422"/>
      <c r="D197" s="1422"/>
      <c r="E197" s="1422"/>
      <c r="F197" s="1422"/>
      <c r="G197" s="1422"/>
      <c r="H197" s="1422"/>
      <c r="I197" s="1422"/>
      <c r="J197" s="1422"/>
      <c r="L197" s="519"/>
      <c r="N197" s="519"/>
      <c r="R197" s="519"/>
    </row>
    <row r="198" spans="1:18" s="155" customFormat="1" ht="15.75">
      <c r="B198" s="1465"/>
      <c r="C198" s="571"/>
      <c r="D198" s="571"/>
      <c r="E198" s="571"/>
      <c r="F198" s="572"/>
      <c r="G198" s="571"/>
      <c r="H198" s="158"/>
      <c r="I198" s="156"/>
      <c r="J198" s="158"/>
      <c r="L198" s="519"/>
      <c r="N198" s="519"/>
      <c r="R198" s="519"/>
    </row>
    <row r="199" spans="1:18" s="155" customFormat="1" ht="15.75">
      <c r="B199" s="1735" t="s">
        <v>1503</v>
      </c>
      <c r="C199" s="1736"/>
      <c r="D199" s="1736"/>
      <c r="E199" s="1739" t="s">
        <v>1038</v>
      </c>
      <c r="F199" s="1740"/>
      <c r="G199" s="1472"/>
      <c r="H199" s="1473" t="s">
        <v>1039</v>
      </c>
      <c r="I199" s="1474"/>
      <c r="J199" s="1473" t="s">
        <v>1685</v>
      </c>
      <c r="L199" s="519"/>
      <c r="N199" s="519"/>
      <c r="R199" s="519"/>
    </row>
    <row r="200" spans="1:18" s="155" customFormat="1" ht="15">
      <c r="B200" s="1467" t="s">
        <v>1032</v>
      </c>
      <c r="C200" s="571"/>
      <c r="D200" s="571"/>
      <c r="E200" s="1737">
        <f>BS!L78</f>
        <v>176205746042</v>
      </c>
      <c r="F200" s="1738"/>
      <c r="G200" s="571"/>
      <c r="H200" s="1468"/>
      <c r="I200" s="156"/>
      <c r="J200" s="1468">
        <f>E200+H200</f>
        <v>176205746042</v>
      </c>
      <c r="L200" s="519"/>
      <c r="N200" s="519"/>
      <c r="R200" s="519"/>
    </row>
    <row r="201" spans="1:18" s="155" customFormat="1" ht="15">
      <c r="B201" s="1467" t="s">
        <v>1040</v>
      </c>
      <c r="C201" s="571"/>
      <c r="D201" s="571"/>
      <c r="E201" s="1737">
        <f>BS!L77</f>
        <v>170081763483</v>
      </c>
      <c r="F201" s="1738"/>
      <c r="G201" s="571"/>
      <c r="H201" s="1468"/>
      <c r="I201" s="156"/>
      <c r="J201" s="1468">
        <f>E201+H201</f>
        <v>170081763483</v>
      </c>
      <c r="L201" s="519"/>
      <c r="N201" s="519"/>
      <c r="R201" s="519"/>
    </row>
    <row r="202" spans="1:18" s="155" customFormat="1" ht="15">
      <c r="B202" s="1467" t="s">
        <v>1041</v>
      </c>
      <c r="C202" s="571"/>
      <c r="D202" s="571"/>
      <c r="E202" s="1737"/>
      <c r="F202" s="1738"/>
      <c r="G202" s="571"/>
      <c r="H202" s="1468">
        <f>BS!L93</f>
        <v>36775364485</v>
      </c>
      <c r="I202" s="156"/>
      <c r="J202" s="1468">
        <f>E202+H202</f>
        <v>36775364485</v>
      </c>
      <c r="L202" s="519"/>
      <c r="N202" s="519"/>
      <c r="R202" s="519"/>
    </row>
    <row r="203" spans="1:18" s="155" customFormat="1" ht="15">
      <c r="B203" s="1469"/>
      <c r="C203" s="1470"/>
      <c r="D203" s="1470"/>
      <c r="E203" s="1753"/>
      <c r="F203" s="1754"/>
      <c r="G203" s="1470"/>
      <c r="H203" s="1471"/>
      <c r="I203" s="154"/>
      <c r="J203" s="1471"/>
      <c r="L203" s="519"/>
      <c r="N203" s="519"/>
      <c r="R203" s="519"/>
    </row>
    <row r="204" spans="1:18" s="155" customFormat="1" ht="15">
      <c r="B204" s="1465"/>
      <c r="C204" s="571"/>
      <c r="D204" s="571"/>
      <c r="E204" s="571"/>
      <c r="F204" s="571"/>
      <c r="G204" s="571"/>
      <c r="H204" s="156"/>
      <c r="I204" s="156"/>
      <c r="J204" s="156"/>
      <c r="L204" s="519"/>
      <c r="N204" s="519"/>
      <c r="R204" s="519"/>
    </row>
    <row r="205" spans="1:18" s="155" customFormat="1" ht="15.75">
      <c r="A205" s="157" t="s">
        <v>1042</v>
      </c>
      <c r="B205" s="1466" t="s">
        <v>1043</v>
      </c>
      <c r="C205" s="571"/>
      <c r="D205" s="571"/>
      <c r="E205" s="571"/>
      <c r="F205" s="571"/>
      <c r="G205" s="571"/>
      <c r="H205" s="156"/>
      <c r="I205" s="156"/>
      <c r="J205" s="156"/>
      <c r="L205" s="519"/>
      <c r="N205" s="519"/>
      <c r="R205" s="519"/>
    </row>
    <row r="206" spans="1:18" s="155" customFormat="1" ht="19.5" customHeight="1">
      <c r="A206" s="1476"/>
      <c r="B206" s="1757" t="s">
        <v>477</v>
      </c>
      <c r="C206" s="1757"/>
      <c r="D206" s="1757"/>
      <c r="E206" s="1757"/>
      <c r="F206" s="1757"/>
      <c r="G206" s="1757"/>
      <c r="H206" s="1757"/>
      <c r="I206" s="1757"/>
      <c r="J206" s="1757"/>
      <c r="K206" s="1477"/>
      <c r="L206" s="519"/>
      <c r="N206" s="519"/>
      <c r="R206" s="519"/>
    </row>
    <row r="207" spans="1:18" s="155" customFormat="1" ht="80.25" customHeight="1">
      <c r="A207" s="1476"/>
      <c r="B207" s="1758" t="s">
        <v>1003</v>
      </c>
      <c r="C207" s="1759"/>
      <c r="D207" s="1759"/>
      <c r="E207" s="1759"/>
      <c r="F207" s="1759"/>
      <c r="G207" s="1759"/>
      <c r="H207" s="1759"/>
      <c r="I207" s="1759"/>
      <c r="J207" s="1759"/>
      <c r="K207" s="1477"/>
      <c r="L207" s="519"/>
      <c r="N207" s="519"/>
      <c r="R207" s="519"/>
    </row>
    <row r="208" spans="1:18" s="155" customFormat="1" ht="7.5" hidden="1" customHeight="1">
      <c r="A208" s="1476"/>
      <c r="B208" s="1478"/>
      <c r="C208" s="1479"/>
      <c r="D208" s="1479"/>
      <c r="E208" s="1479"/>
      <c r="F208" s="1479"/>
      <c r="G208" s="1479"/>
      <c r="H208" s="1480"/>
      <c r="I208" s="1480"/>
      <c r="J208" s="1480"/>
      <c r="K208" s="1477"/>
      <c r="L208" s="519"/>
      <c r="N208" s="519"/>
      <c r="R208" s="519"/>
    </row>
    <row r="209" spans="1:18" s="155" customFormat="1" ht="56.25" customHeight="1">
      <c r="A209" s="1476"/>
      <c r="B209" s="1741" t="s">
        <v>474</v>
      </c>
      <c r="C209" s="1742"/>
      <c r="D209" s="1742"/>
      <c r="E209" s="1742"/>
      <c r="F209" s="1742"/>
      <c r="G209" s="1742"/>
      <c r="H209" s="1742"/>
      <c r="I209" s="1742"/>
      <c r="J209" s="1742"/>
      <c r="K209" s="1477"/>
      <c r="L209" s="519"/>
      <c r="N209" s="519"/>
      <c r="R209" s="519"/>
    </row>
    <row r="210" spans="1:18" s="155" customFormat="1" ht="0.75" customHeight="1">
      <c r="A210" s="1476"/>
      <c r="B210" s="1478"/>
      <c r="C210" s="1479"/>
      <c r="D210" s="1479"/>
      <c r="E210" s="1479"/>
      <c r="F210" s="1479"/>
      <c r="G210" s="1479"/>
      <c r="H210" s="1480"/>
      <c r="I210" s="1480"/>
      <c r="J210" s="1480"/>
      <c r="K210" s="1477"/>
      <c r="L210" s="519"/>
      <c r="N210" s="519"/>
      <c r="R210" s="519"/>
    </row>
    <row r="211" spans="1:18" s="155" customFormat="1" ht="30.75" hidden="1" customHeight="1">
      <c r="A211" s="1476"/>
      <c r="B211" s="1755" t="s">
        <v>478</v>
      </c>
      <c r="C211" s="1756"/>
      <c r="D211" s="1756"/>
      <c r="E211" s="1756"/>
      <c r="F211" s="1756"/>
      <c r="G211" s="1756"/>
      <c r="H211" s="1756"/>
      <c r="I211" s="1756"/>
      <c r="J211" s="1756"/>
      <c r="K211" s="1477"/>
      <c r="L211" s="519"/>
      <c r="N211" s="519"/>
      <c r="R211" s="519"/>
    </row>
    <row r="212" spans="1:18" s="155" customFormat="1" ht="5.25" hidden="1" customHeight="1">
      <c r="A212" s="1476"/>
      <c r="B212" s="1478"/>
      <c r="C212" s="1479"/>
      <c r="D212" s="1479"/>
      <c r="E212" s="1479"/>
      <c r="F212" s="1479"/>
      <c r="G212" s="1479"/>
      <c r="H212" s="1480"/>
      <c r="I212" s="1480"/>
      <c r="J212" s="1480"/>
      <c r="K212" s="1477"/>
      <c r="L212" s="519"/>
      <c r="N212" s="519"/>
      <c r="R212" s="519"/>
    </row>
    <row r="213" spans="1:18" s="155" customFormat="1" ht="63" customHeight="1">
      <c r="A213" s="1476"/>
      <c r="B213" s="1741" t="s">
        <v>878</v>
      </c>
      <c r="C213" s="1742"/>
      <c r="D213" s="1742"/>
      <c r="E213" s="1742"/>
      <c r="F213" s="1742"/>
      <c r="G213" s="1742"/>
      <c r="H213" s="1742"/>
      <c r="I213" s="1742"/>
      <c r="J213" s="1742"/>
      <c r="K213" s="1477"/>
      <c r="L213" s="519"/>
      <c r="N213" s="519"/>
      <c r="R213" s="519"/>
    </row>
    <row r="214" spans="1:18" s="155" customFormat="1" ht="2.25" customHeight="1">
      <c r="A214" s="1476"/>
      <c r="B214" s="1478"/>
      <c r="C214" s="1479"/>
      <c r="D214" s="1479"/>
      <c r="E214" s="1479"/>
      <c r="F214" s="1479"/>
      <c r="G214" s="1479"/>
      <c r="H214" s="1480"/>
      <c r="I214" s="1480"/>
      <c r="J214" s="1480"/>
      <c r="K214" s="1477"/>
      <c r="L214" s="519"/>
      <c r="N214" s="519"/>
      <c r="R214" s="519"/>
    </row>
    <row r="215" spans="1:18" s="155" customFormat="1" ht="45.75" customHeight="1">
      <c r="A215" s="1476"/>
      <c r="B215" s="1755" t="s">
        <v>1004</v>
      </c>
      <c r="C215" s="1756"/>
      <c r="D215" s="1756"/>
      <c r="E215" s="1756"/>
      <c r="F215" s="1756"/>
      <c r="G215" s="1756"/>
      <c r="H215" s="1756"/>
      <c r="I215" s="1756"/>
      <c r="J215" s="1756"/>
      <c r="K215" s="1477"/>
      <c r="L215" s="519"/>
      <c r="N215" s="519"/>
      <c r="R215" s="519"/>
    </row>
    <row r="216" spans="1:18" s="155" customFormat="1" ht="15.75">
      <c r="A216" s="1477"/>
      <c r="B216" s="1479"/>
      <c r="C216" s="1479"/>
      <c r="D216" s="1479"/>
      <c r="E216" s="1479"/>
      <c r="F216" s="1479"/>
      <c r="G216" s="1479"/>
      <c r="H216" s="1479"/>
      <c r="I216" s="1479"/>
      <c r="J216" s="1479"/>
      <c r="K216" s="1477"/>
      <c r="L216" s="519">
        <f>SUM(L180:L183)</f>
        <v>0</v>
      </c>
      <c r="N216" s="519"/>
      <c r="R216" s="519"/>
    </row>
    <row r="217" spans="1:18" s="155" customFormat="1" ht="15.75">
      <c r="A217" s="157" t="s">
        <v>664</v>
      </c>
      <c r="B217" s="572" t="s">
        <v>1344</v>
      </c>
      <c r="C217" s="572"/>
      <c r="D217" s="572"/>
      <c r="E217" s="572"/>
      <c r="F217" s="572"/>
      <c r="G217" s="572"/>
      <c r="H217" s="572"/>
      <c r="I217" s="572"/>
      <c r="J217" s="572"/>
      <c r="L217" s="518"/>
      <c r="M217" s="157"/>
      <c r="N217" s="518"/>
      <c r="R217" s="518"/>
    </row>
    <row r="218" spans="1:18" s="155" customFormat="1" ht="15.75">
      <c r="A218" s="157" t="s">
        <v>879</v>
      </c>
      <c r="B218" s="1481" t="s">
        <v>180</v>
      </c>
      <c r="C218" s="572"/>
      <c r="D218" s="572"/>
      <c r="E218" s="572"/>
      <c r="F218" s="572"/>
      <c r="G218" s="572"/>
      <c r="H218" s="1482" t="s">
        <v>181</v>
      </c>
      <c r="I218" s="572"/>
      <c r="J218" s="572"/>
      <c r="L218" s="518"/>
      <c r="M218" s="157"/>
      <c r="N218" s="518"/>
      <c r="R218" s="518"/>
    </row>
    <row r="219" spans="1:18" s="155" customFormat="1" ht="15.75">
      <c r="A219" s="157"/>
      <c r="B219" s="571" t="s">
        <v>1091</v>
      </c>
      <c r="C219" s="572"/>
      <c r="D219" s="572"/>
      <c r="E219" s="572"/>
      <c r="F219" s="572"/>
      <c r="G219" s="572"/>
      <c r="H219" s="571" t="s">
        <v>1251</v>
      </c>
      <c r="I219" s="572"/>
      <c r="J219" s="572"/>
      <c r="L219" s="518"/>
      <c r="M219" s="157"/>
      <c r="N219" s="518"/>
      <c r="R219" s="518"/>
    </row>
    <row r="220" spans="1:18" s="155" customFormat="1" ht="15.75" customHeight="1">
      <c r="A220" s="157"/>
      <c r="B220" s="572"/>
      <c r="C220" s="572"/>
      <c r="D220" s="572"/>
      <c r="E220" s="572"/>
      <c r="F220" s="572"/>
      <c r="G220" s="572"/>
      <c r="H220" s="572"/>
      <c r="I220" s="572"/>
      <c r="J220" s="572"/>
      <c r="L220" s="518"/>
      <c r="M220" s="157"/>
      <c r="N220" s="518"/>
      <c r="R220" s="518"/>
    </row>
    <row r="221" spans="1:18" s="155" customFormat="1" ht="31.5">
      <c r="A221" s="157" t="s">
        <v>880</v>
      </c>
      <c r="B221" s="1481" t="s">
        <v>176</v>
      </c>
      <c r="C221" s="1481"/>
      <c r="D221" s="1481"/>
      <c r="E221" s="572"/>
      <c r="F221" s="1301" t="s">
        <v>177</v>
      </c>
      <c r="G221" s="572"/>
      <c r="H221" s="1301" t="s">
        <v>178</v>
      </c>
      <c r="I221" s="572"/>
      <c r="J221" s="1301" t="s">
        <v>179</v>
      </c>
      <c r="L221" s="518"/>
      <c r="M221" s="157"/>
      <c r="N221" s="518"/>
      <c r="R221" s="518"/>
    </row>
    <row r="222" spans="1:18" s="155" customFormat="1" ht="15.75">
      <c r="A222" s="157"/>
      <c r="B222" s="572" t="s">
        <v>969</v>
      </c>
      <c r="C222" s="572"/>
      <c r="D222" s="572"/>
      <c r="E222" s="572"/>
      <c r="F222" s="572"/>
      <c r="G222" s="572"/>
      <c r="H222" s="572"/>
      <c r="I222" s="572"/>
      <c r="J222" s="572"/>
      <c r="L222" s="518"/>
      <c r="M222" s="157"/>
      <c r="N222" s="518"/>
      <c r="R222" s="518"/>
    </row>
    <row r="223" spans="1:18" s="155" customFormat="1" ht="27" customHeight="1">
      <c r="A223" s="157"/>
      <c r="B223" s="1744" t="s">
        <v>1091</v>
      </c>
      <c r="C223" s="1745"/>
      <c r="D223" s="1745"/>
      <c r="E223" s="572"/>
      <c r="F223" s="571" t="s">
        <v>1251</v>
      </c>
      <c r="G223" s="572"/>
      <c r="H223" s="1744" t="s">
        <v>1220</v>
      </c>
      <c r="I223" s="572"/>
      <c r="J223" s="156">
        <v>10391124048</v>
      </c>
      <c r="L223" s="518">
        <v>496403252</v>
      </c>
      <c r="M223" s="157"/>
      <c r="N223" s="518">
        <f>J223-L223</f>
        <v>9894720796</v>
      </c>
      <c r="R223" s="518"/>
    </row>
    <row r="224" spans="1:18" s="155" customFormat="1" ht="24.75" customHeight="1">
      <c r="A224" s="157"/>
      <c r="B224" s="1745"/>
      <c r="C224" s="1745"/>
      <c r="D224" s="1745"/>
      <c r="E224" s="572"/>
      <c r="F224" s="1349"/>
      <c r="G224" s="572"/>
      <c r="H224" s="1744"/>
      <c r="I224" s="572"/>
      <c r="J224" s="1303"/>
      <c r="L224" s="518"/>
      <c r="M224" s="157"/>
      <c r="N224" s="518"/>
      <c r="R224" s="518"/>
    </row>
    <row r="225" spans="1:18" s="155" customFormat="1" ht="21" hidden="1" customHeight="1">
      <c r="A225" s="157"/>
      <c r="B225" s="1424" t="s">
        <v>1092</v>
      </c>
      <c r="C225" s="1421"/>
      <c r="D225" s="1421"/>
      <c r="E225" s="572"/>
      <c r="F225" s="1349"/>
      <c r="G225" s="572"/>
      <c r="H225" s="1302"/>
      <c r="I225" s="572"/>
      <c r="J225" s="1303"/>
      <c r="L225" s="518"/>
      <c r="M225" s="157"/>
      <c r="N225" s="518"/>
      <c r="R225" s="518"/>
    </row>
    <row r="226" spans="1:18" s="155" customFormat="1" ht="21" hidden="1" customHeight="1">
      <c r="A226" s="157"/>
      <c r="B226" s="1744" t="s">
        <v>1091</v>
      </c>
      <c r="C226" s="1745"/>
      <c r="D226" s="1745"/>
      <c r="E226" s="572"/>
      <c r="F226" s="571" t="s">
        <v>1251</v>
      </c>
      <c r="G226" s="572"/>
      <c r="H226" s="1744" t="s">
        <v>1219</v>
      </c>
      <c r="I226" s="572"/>
      <c r="J226" s="1303">
        <f>BS!L22+BS!L41</f>
        <v>90433189822</v>
      </c>
      <c r="L226" s="518"/>
      <c r="M226" s="157"/>
      <c r="N226" s="518"/>
      <c r="R226" s="518"/>
    </row>
    <row r="227" spans="1:18" s="155" customFormat="1" ht="21" hidden="1" customHeight="1">
      <c r="A227" s="157"/>
      <c r="B227" s="1745"/>
      <c r="C227" s="1745"/>
      <c r="D227" s="1745"/>
      <c r="E227" s="572"/>
      <c r="F227" s="1349"/>
      <c r="G227" s="572"/>
      <c r="H227" s="1744"/>
      <c r="I227" s="572"/>
      <c r="J227" s="1303"/>
      <c r="L227" s="518"/>
      <c r="M227" s="157"/>
      <c r="N227" s="518"/>
      <c r="R227" s="518"/>
    </row>
    <row r="228" spans="1:18" s="155" customFormat="1" ht="15.75" hidden="1">
      <c r="A228" s="157"/>
      <c r="B228" s="1302"/>
      <c r="C228" s="1302"/>
      <c r="D228" s="1302"/>
      <c r="E228" s="572"/>
      <c r="F228" s="1305"/>
      <c r="G228" s="572"/>
      <c r="H228" s="1350"/>
      <c r="I228" s="572"/>
      <c r="J228" s="572"/>
      <c r="L228" s="518"/>
      <c r="M228" s="157"/>
      <c r="N228" s="518"/>
      <c r="R228" s="518"/>
    </row>
    <row r="229" spans="1:18" s="155" customFormat="1" ht="31.5">
      <c r="A229" s="1304" t="s">
        <v>881</v>
      </c>
      <c r="B229" s="1734" t="s">
        <v>183</v>
      </c>
      <c r="C229" s="1734"/>
      <c r="D229" s="1734"/>
      <c r="E229" s="572"/>
      <c r="F229" s="1301" t="s">
        <v>177</v>
      </c>
      <c r="G229" s="572"/>
      <c r="H229" s="1301" t="s">
        <v>1429</v>
      </c>
      <c r="I229" s="888"/>
      <c r="J229" s="1301" t="s">
        <v>243</v>
      </c>
      <c r="L229" s="518"/>
      <c r="M229" s="157"/>
      <c r="N229" s="518"/>
      <c r="R229" s="518"/>
    </row>
    <row r="230" spans="1:18" s="155" customFormat="1" ht="15.75" hidden="1">
      <c r="A230" s="526"/>
      <c r="B230" s="1308"/>
      <c r="C230" s="1308"/>
      <c r="D230" s="1308"/>
      <c r="E230" s="1308"/>
      <c r="F230" s="1308"/>
      <c r="G230" s="1308"/>
      <c r="H230" s="1309"/>
      <c r="I230" s="1309"/>
      <c r="J230" s="1309"/>
      <c r="L230" s="518"/>
      <c r="M230" s="157"/>
      <c r="N230" s="518"/>
      <c r="R230" s="518"/>
    </row>
    <row r="231" spans="1:18" s="155" customFormat="1" ht="20.25" hidden="1" customHeight="1">
      <c r="A231" s="157" t="s">
        <v>963</v>
      </c>
      <c r="B231" s="572" t="s">
        <v>182</v>
      </c>
      <c r="C231" s="572"/>
      <c r="D231" s="572"/>
      <c r="E231" s="572"/>
      <c r="F231" s="572"/>
      <c r="G231" s="572"/>
      <c r="H231" s="568">
        <f>H232</f>
        <v>24541910937</v>
      </c>
      <c r="I231" s="568"/>
      <c r="J231" s="568">
        <f>J232</f>
        <v>53731958034</v>
      </c>
      <c r="L231" s="518">
        <f>H231-BS!L22</f>
        <v>-47491881667</v>
      </c>
      <c r="M231" s="157"/>
      <c r="N231" s="518">
        <f>J231-BS!N22</f>
        <v>0</v>
      </c>
      <c r="R231" s="518"/>
    </row>
    <row r="232" spans="1:18" s="155" customFormat="1" ht="27" hidden="1" customHeight="1">
      <c r="A232" s="157"/>
      <c r="B232" s="1744" t="s">
        <v>1091</v>
      </c>
      <c r="C232" s="1745"/>
      <c r="D232" s="1745"/>
      <c r="E232" s="572"/>
      <c r="F232" s="571" t="s">
        <v>1251</v>
      </c>
      <c r="G232" s="572"/>
      <c r="H232" s="447">
        <v>24541910937</v>
      </c>
      <c r="I232" s="568"/>
      <c r="J232" s="447">
        <v>53731958034</v>
      </c>
      <c r="L232" s="518">
        <f>L231-N223</f>
        <v>-57386602463</v>
      </c>
      <c r="M232" s="157"/>
      <c r="N232" s="518"/>
      <c r="R232" s="518"/>
    </row>
    <row r="233" spans="1:18" s="155" customFormat="1" ht="27" hidden="1" customHeight="1">
      <c r="A233" s="157"/>
      <c r="B233" s="1745"/>
      <c r="C233" s="1745"/>
      <c r="D233" s="1745"/>
      <c r="E233" s="572"/>
      <c r="F233" s="571"/>
      <c r="G233" s="572"/>
      <c r="H233" s="566"/>
      <c r="I233" s="568"/>
      <c r="J233" s="566"/>
      <c r="L233" s="518"/>
      <c r="M233" s="157"/>
      <c r="N233" s="518"/>
      <c r="R233" s="518"/>
    </row>
    <row r="234" spans="1:18" s="561" customFormat="1" ht="27" customHeight="1">
      <c r="A234" s="157" t="s">
        <v>963</v>
      </c>
      <c r="B234" s="572" t="s">
        <v>1092</v>
      </c>
      <c r="C234" s="892"/>
      <c r="D234" s="892"/>
      <c r="E234" s="892"/>
      <c r="F234" s="1351"/>
      <c r="G234" s="892"/>
      <c r="H234" s="1352"/>
      <c r="I234" s="891"/>
      <c r="J234" s="1352"/>
      <c r="L234" s="540"/>
      <c r="M234" s="525"/>
      <c r="N234" s="540"/>
      <c r="R234" s="540"/>
    </row>
    <row r="235" spans="1:18" s="561" customFormat="1" ht="17.25" customHeight="1">
      <c r="A235" s="157"/>
      <c r="B235" s="1744" t="s">
        <v>1091</v>
      </c>
      <c r="C235" s="1745"/>
      <c r="D235" s="1745"/>
      <c r="E235" s="892"/>
      <c r="F235" s="1305" t="s">
        <v>1251</v>
      </c>
      <c r="G235" s="892"/>
      <c r="H235" s="566">
        <f>SUM(H237:H238)</f>
        <v>90433189822</v>
      </c>
      <c r="I235" s="891"/>
      <c r="J235" s="566">
        <f>SUM(J237:J238)</f>
        <v>85043045498</v>
      </c>
      <c r="L235" s="540"/>
      <c r="M235" s="525"/>
      <c r="N235" s="540"/>
      <c r="R235" s="540"/>
    </row>
    <row r="236" spans="1:18" s="561" customFormat="1" ht="17.25" customHeight="1">
      <c r="A236" s="157"/>
      <c r="B236" s="1745"/>
      <c r="C236" s="1745"/>
      <c r="D236" s="1745"/>
      <c r="E236" s="892"/>
      <c r="F236" s="1351"/>
      <c r="G236" s="892"/>
      <c r="H236" s="1352"/>
      <c r="I236" s="891"/>
      <c r="J236" s="1352"/>
      <c r="L236" s="540"/>
      <c r="M236" s="525"/>
      <c r="N236" s="540"/>
      <c r="R236" s="540"/>
    </row>
    <row r="237" spans="1:18" s="561" customFormat="1" ht="17.25" customHeight="1">
      <c r="A237" s="525"/>
      <c r="B237" s="1423" t="s">
        <v>1093</v>
      </c>
      <c r="C237" s="1423"/>
      <c r="D237" s="1423"/>
      <c r="E237" s="892"/>
      <c r="F237" s="1351"/>
      <c r="G237" s="892"/>
      <c r="H237" s="1352">
        <f>BS!L22</f>
        <v>72033792604</v>
      </c>
      <c r="I237" s="891"/>
      <c r="J237" s="1352">
        <f>BS!N41</f>
        <v>31311087464</v>
      </c>
      <c r="L237" s="540"/>
      <c r="M237" s="525"/>
      <c r="N237" s="540"/>
      <c r="R237" s="540"/>
    </row>
    <row r="238" spans="1:18" s="561" customFormat="1" ht="17.25" customHeight="1">
      <c r="A238" s="525"/>
      <c r="B238" s="1423" t="s">
        <v>1094</v>
      </c>
      <c r="C238" s="892"/>
      <c r="D238" s="892"/>
      <c r="E238" s="892"/>
      <c r="F238" s="1351"/>
      <c r="G238" s="892"/>
      <c r="H238" s="1352">
        <f>BS!L41</f>
        <v>18399397218</v>
      </c>
      <c r="I238" s="891"/>
      <c r="J238" s="1352">
        <f>BS!N22</f>
        <v>53731958034</v>
      </c>
      <c r="L238" s="540"/>
      <c r="M238" s="525"/>
      <c r="N238" s="540"/>
      <c r="R238" s="540"/>
    </row>
    <row r="239" spans="1:18" s="155" customFormat="1" ht="14.25" customHeight="1">
      <c r="A239" s="157"/>
      <c r="B239" s="1311"/>
      <c r="C239" s="1311"/>
      <c r="D239" s="1311"/>
      <c r="E239" s="572"/>
      <c r="F239" s="1348"/>
      <c r="G239" s="572"/>
      <c r="H239" s="566"/>
      <c r="I239" s="566"/>
      <c r="J239" s="566"/>
      <c r="L239" s="518"/>
      <c r="M239" s="157"/>
      <c r="N239" s="518"/>
      <c r="R239" s="518"/>
    </row>
    <row r="240" spans="1:18" s="157" customFormat="1" ht="20.25" customHeight="1">
      <c r="A240" s="157" t="s">
        <v>666</v>
      </c>
      <c r="B240" s="572" t="s">
        <v>435</v>
      </c>
      <c r="H240" s="158"/>
      <c r="I240" s="158"/>
      <c r="J240" s="158"/>
      <c r="L240" s="518"/>
      <c r="N240" s="518"/>
      <c r="R240" s="518"/>
    </row>
    <row r="241" spans="1:18" s="157" customFormat="1" ht="6.75" customHeight="1">
      <c r="B241" s="572"/>
      <c r="H241" s="158"/>
      <c r="I241" s="158"/>
      <c r="J241" s="158"/>
      <c r="L241" s="518"/>
      <c r="N241" s="518"/>
      <c r="R241" s="518"/>
    </row>
    <row r="242" spans="1:18" s="155" customFormat="1" ht="63" customHeight="1">
      <c r="B242" s="1746" t="s">
        <v>133</v>
      </c>
      <c r="C242" s="1746"/>
      <c r="D242" s="1746"/>
      <c r="E242" s="1746"/>
      <c r="F242" s="1746"/>
      <c r="G242" s="1746"/>
      <c r="H242" s="1746"/>
      <c r="I242" s="1746"/>
      <c r="J242" s="1746"/>
      <c r="L242" s="518"/>
      <c r="M242" s="157"/>
      <c r="N242" s="518"/>
      <c r="R242" s="518"/>
    </row>
    <row r="243" spans="1:18" s="155" customFormat="1" ht="9" customHeight="1">
      <c r="B243" s="898"/>
      <c r="C243" s="898"/>
      <c r="D243" s="898"/>
      <c r="E243" s="898"/>
      <c r="F243" s="898"/>
      <c r="G243" s="898"/>
      <c r="H243" s="898"/>
      <c r="I243" s="898"/>
      <c r="J243" s="898"/>
      <c r="L243" s="518"/>
      <c r="M243" s="157"/>
      <c r="N243" s="518"/>
      <c r="R243" s="518"/>
    </row>
    <row r="244" spans="1:18" s="157" customFormat="1" ht="14.25" customHeight="1">
      <c r="A244" s="157" t="s">
        <v>668</v>
      </c>
      <c r="B244" s="572" t="s">
        <v>1345</v>
      </c>
      <c r="H244" s="158"/>
      <c r="I244" s="158"/>
      <c r="J244" s="158"/>
      <c r="L244" s="518"/>
      <c r="N244" s="518"/>
      <c r="R244" s="518"/>
    </row>
    <row r="245" spans="1:18" s="157" customFormat="1" ht="21.75" customHeight="1">
      <c r="B245" s="1751" t="s">
        <v>638</v>
      </c>
      <c r="C245" s="1751"/>
      <c r="D245" s="1751"/>
      <c r="E245" s="1751"/>
      <c r="F245" s="1751"/>
      <c r="G245" s="1751"/>
      <c r="H245" s="1751"/>
      <c r="I245" s="1751"/>
      <c r="J245" s="1751"/>
      <c r="L245" s="518"/>
      <c r="N245" s="518"/>
      <c r="R245" s="518"/>
    </row>
    <row r="246" spans="1:18" s="157" customFormat="1" ht="8.25" customHeight="1">
      <c r="A246" s="526"/>
      <c r="B246" s="562"/>
      <c r="C246" s="562"/>
      <c r="D246" s="562"/>
      <c r="E246" s="562"/>
      <c r="F246" s="562"/>
      <c r="G246" s="562"/>
      <c r="H246" s="562"/>
      <c r="I246" s="562"/>
      <c r="J246" s="562"/>
      <c r="L246" s="518"/>
      <c r="N246" s="518"/>
      <c r="R246" s="518"/>
    </row>
    <row r="247" spans="1:18" s="157" customFormat="1" ht="21" hidden="1" customHeight="1">
      <c r="A247" s="157" t="s">
        <v>669</v>
      </c>
      <c r="B247" s="572" t="s">
        <v>1413</v>
      </c>
      <c r="H247" s="158"/>
      <c r="I247" s="158"/>
      <c r="J247" s="158"/>
      <c r="L247" s="518"/>
      <c r="N247" s="518"/>
      <c r="R247" s="518"/>
    </row>
    <row r="248" spans="1:18" s="157" customFormat="1" ht="6" hidden="1" customHeight="1">
      <c r="B248" s="572"/>
      <c r="H248" s="158"/>
      <c r="I248" s="158"/>
      <c r="J248" s="158"/>
      <c r="L248" s="518"/>
      <c r="N248" s="518"/>
      <c r="R248" s="518"/>
    </row>
    <row r="249" spans="1:18" s="157" customFormat="1" ht="76.5" hidden="1" customHeight="1">
      <c r="B249" s="1746" t="s">
        <v>358</v>
      </c>
      <c r="C249" s="1746"/>
      <c r="D249" s="1746"/>
      <c r="E249" s="1746"/>
      <c r="F249" s="1746"/>
      <c r="G249" s="1746"/>
      <c r="H249" s="1746"/>
      <c r="I249" s="1746"/>
      <c r="J249" s="1746"/>
      <c r="L249" s="518"/>
      <c r="N249" s="518"/>
      <c r="R249" s="518"/>
    </row>
    <row r="250" spans="1:18" s="157" customFormat="1" ht="9.75" customHeight="1">
      <c r="B250" s="898"/>
      <c r="C250" s="898"/>
      <c r="D250" s="898"/>
      <c r="E250" s="898"/>
      <c r="F250" s="898"/>
      <c r="G250" s="898"/>
      <c r="H250" s="898"/>
      <c r="I250" s="898"/>
      <c r="J250" s="898"/>
      <c r="L250" s="518"/>
      <c r="N250" s="518"/>
      <c r="R250" s="518"/>
    </row>
    <row r="251" spans="1:18" s="157" customFormat="1" ht="27" customHeight="1">
      <c r="A251" s="157" t="s">
        <v>669</v>
      </c>
      <c r="B251" s="572" t="s">
        <v>30</v>
      </c>
      <c r="C251" s="898"/>
      <c r="D251" s="898"/>
      <c r="E251" s="898"/>
      <c r="F251" s="898"/>
      <c r="G251" s="898"/>
      <c r="H251" s="898"/>
      <c r="I251" s="898"/>
      <c r="J251" s="898"/>
      <c r="L251" s="518"/>
      <c r="N251" s="518"/>
      <c r="R251" s="518"/>
    </row>
    <row r="252" spans="1:18" s="905" customFormat="1" ht="16.5">
      <c r="A252" s="1752" t="s">
        <v>712</v>
      </c>
      <c r="B252" s="1752"/>
      <c r="C252" s="1752"/>
      <c r="D252" s="1752"/>
      <c r="E252" s="1752"/>
      <c r="F252" s="1752"/>
      <c r="G252" s="903"/>
      <c r="H252" s="1160" t="s">
        <v>193</v>
      </c>
      <c r="I252" s="904"/>
      <c r="J252" s="1505" t="s">
        <v>192</v>
      </c>
      <c r="L252" s="906"/>
      <c r="N252" s="906"/>
      <c r="R252" s="906"/>
    </row>
    <row r="253" spans="1:18" s="905" customFormat="1" ht="15.75">
      <c r="A253" s="907"/>
      <c r="B253" s="908"/>
      <c r="C253" s="908"/>
      <c r="D253" s="908"/>
      <c r="E253" s="908"/>
      <c r="F253" s="908"/>
      <c r="G253" s="908"/>
      <c r="H253" s="909"/>
      <c r="I253" s="910"/>
      <c r="J253" s="910"/>
      <c r="L253" s="906"/>
      <c r="N253" s="906"/>
      <c r="R253" s="906"/>
    </row>
    <row r="254" spans="1:18" s="905" customFormat="1" ht="18" customHeight="1">
      <c r="A254" s="911">
        <v>1</v>
      </c>
      <c r="B254" s="912" t="s">
        <v>359</v>
      </c>
      <c r="C254" s="912"/>
      <c r="D254" s="912"/>
      <c r="E254" s="912"/>
      <c r="F254" s="912"/>
      <c r="G254" s="912"/>
      <c r="H254" s="913"/>
      <c r="I254" s="910"/>
      <c r="J254" s="910"/>
      <c r="L254" s="906"/>
      <c r="N254" s="906"/>
      <c r="R254" s="906"/>
    </row>
    <row r="255" spans="1:18" s="905" customFormat="1" ht="18" customHeight="1">
      <c r="A255" s="914" t="s">
        <v>360</v>
      </c>
      <c r="B255" s="915" t="s">
        <v>361</v>
      </c>
      <c r="C255" s="915"/>
      <c r="D255" s="915"/>
      <c r="E255" s="915"/>
      <c r="F255" s="915"/>
      <c r="G255" s="915"/>
      <c r="H255" s="916"/>
      <c r="I255" s="917"/>
      <c r="J255" s="917"/>
      <c r="L255" s="906"/>
      <c r="N255" s="906"/>
      <c r="R255" s="906"/>
    </row>
    <row r="256" spans="1:18" s="905" customFormat="1" ht="18" customHeight="1">
      <c r="A256" s="918" t="s">
        <v>1389</v>
      </c>
      <c r="B256" s="919" t="s">
        <v>362</v>
      </c>
      <c r="C256" s="919"/>
      <c r="D256" s="919"/>
      <c r="E256" s="919"/>
      <c r="F256" s="919"/>
      <c r="G256" s="919"/>
      <c r="H256" s="920">
        <f ca="1">BS!L37/BS!L70</f>
        <v>0.22670000000000001</v>
      </c>
      <c r="I256" s="920"/>
      <c r="J256" s="920">
        <f>BS!N37/BS!N70</f>
        <v>0.27789999999999998</v>
      </c>
      <c r="L256" s="906"/>
      <c r="N256" s="906"/>
      <c r="R256" s="906"/>
    </row>
    <row r="257" spans="1:18" s="905" customFormat="1" ht="18" customHeight="1">
      <c r="A257" s="918" t="s">
        <v>1389</v>
      </c>
      <c r="B257" s="919" t="s">
        <v>363</v>
      </c>
      <c r="C257" s="919"/>
      <c r="D257" s="919"/>
      <c r="E257" s="919"/>
      <c r="F257" s="919"/>
      <c r="G257" s="919"/>
      <c r="H257" s="921">
        <f ca="1">100%-H256</f>
        <v>0.77329999999999999</v>
      </c>
      <c r="I257" s="920"/>
      <c r="J257" s="921">
        <f>100%-J256</f>
        <v>0.72209999999999996</v>
      </c>
      <c r="L257" s="906"/>
      <c r="N257" s="906"/>
      <c r="R257" s="906"/>
    </row>
    <row r="258" spans="1:18" s="905" customFormat="1" ht="18" customHeight="1">
      <c r="A258" s="914" t="s">
        <v>364</v>
      </c>
      <c r="B258" s="915" t="s">
        <v>365</v>
      </c>
      <c r="C258" s="915"/>
      <c r="D258" s="915"/>
      <c r="E258" s="915"/>
      <c r="F258" s="915"/>
      <c r="G258" s="915"/>
      <c r="H258" s="922"/>
      <c r="I258" s="923"/>
      <c r="J258" s="923"/>
      <c r="L258" s="906"/>
      <c r="N258" s="906"/>
      <c r="R258" s="906"/>
    </row>
    <row r="259" spans="1:18" s="905" customFormat="1" ht="18" customHeight="1">
      <c r="A259" s="918" t="s">
        <v>1389</v>
      </c>
      <c r="B259" s="919" t="s">
        <v>366</v>
      </c>
      <c r="C259" s="919"/>
      <c r="D259" s="919"/>
      <c r="E259" s="919"/>
      <c r="F259" s="919"/>
      <c r="G259" s="919"/>
      <c r="H259" s="920">
        <f ca="1">BS!L75/BS!L119</f>
        <v>0.75519999999999998</v>
      </c>
      <c r="I259" s="920"/>
      <c r="J259" s="920">
        <f>BS!N75/BS!N119</f>
        <v>0.73209999999999997</v>
      </c>
      <c r="L259" s="906"/>
      <c r="N259" s="906"/>
      <c r="R259" s="906"/>
    </row>
    <row r="260" spans="1:18" s="905" customFormat="1" ht="18" customHeight="1">
      <c r="A260" s="918" t="s">
        <v>1389</v>
      </c>
      <c r="B260" s="919" t="s">
        <v>367</v>
      </c>
      <c r="C260" s="919"/>
      <c r="D260" s="919"/>
      <c r="E260" s="919"/>
      <c r="F260" s="919"/>
      <c r="G260" s="919"/>
      <c r="H260" s="921">
        <f ca="1">100%-H259</f>
        <v>0.24479999999999999</v>
      </c>
      <c r="I260" s="920"/>
      <c r="J260" s="921">
        <f>100%-J259</f>
        <v>0.26790000000000003</v>
      </c>
      <c r="L260" s="906"/>
      <c r="N260" s="906"/>
      <c r="R260" s="906"/>
    </row>
    <row r="261" spans="1:18" s="905" customFormat="1" ht="3.75" customHeight="1">
      <c r="A261" s="924"/>
      <c r="B261" s="919"/>
      <c r="C261" s="919"/>
      <c r="D261" s="919"/>
      <c r="E261" s="919"/>
      <c r="F261" s="919"/>
      <c r="G261" s="919"/>
      <c r="H261" s="920"/>
      <c r="I261" s="920"/>
      <c r="J261" s="920"/>
      <c r="L261" s="906"/>
      <c r="N261" s="906"/>
      <c r="R261" s="906"/>
    </row>
    <row r="262" spans="1:18" s="905" customFormat="1" ht="18" customHeight="1">
      <c r="A262" s="911">
        <v>2</v>
      </c>
      <c r="B262" s="912" t="s">
        <v>368</v>
      </c>
      <c r="C262" s="912"/>
      <c r="D262" s="912"/>
      <c r="E262" s="912"/>
      <c r="F262" s="912"/>
      <c r="G262" s="912"/>
      <c r="H262" s="913"/>
      <c r="I262" s="910"/>
      <c r="J262" s="910"/>
      <c r="L262" s="906"/>
      <c r="N262" s="906"/>
      <c r="R262" s="906"/>
    </row>
    <row r="263" spans="1:18" s="905" customFormat="1" ht="18" customHeight="1">
      <c r="A263" s="924" t="s">
        <v>984</v>
      </c>
      <c r="B263" s="919" t="s">
        <v>1540</v>
      </c>
      <c r="C263" s="919"/>
      <c r="D263" s="919"/>
      <c r="E263" s="919"/>
      <c r="F263" s="919"/>
      <c r="G263" s="919"/>
      <c r="H263" s="925">
        <f ca="1">BS!L70/BS!L75</f>
        <v>1.32</v>
      </c>
      <c r="I263" s="925"/>
      <c r="J263" s="925">
        <f>BS!N70/BS!N75</f>
        <v>1.37</v>
      </c>
      <c r="K263" s="926"/>
      <c r="L263" s="906"/>
      <c r="N263" s="906"/>
      <c r="R263" s="906"/>
    </row>
    <row r="264" spans="1:18" s="905" customFormat="1" ht="18" customHeight="1">
      <c r="A264" s="924" t="s">
        <v>985</v>
      </c>
      <c r="B264" s="919" t="s">
        <v>369</v>
      </c>
      <c r="C264" s="919"/>
      <c r="D264" s="919"/>
      <c r="E264" s="919"/>
      <c r="F264" s="919"/>
      <c r="G264" s="919"/>
      <c r="H264" s="925">
        <f>BS!L11/BS!L76</f>
        <v>1.1000000000000001</v>
      </c>
      <c r="I264" s="925"/>
      <c r="J264" s="925">
        <f>BS!N11/BS!N76</f>
        <v>1.08</v>
      </c>
      <c r="K264" s="926"/>
      <c r="L264" s="906"/>
      <c r="N264" s="906"/>
      <c r="R264" s="906"/>
    </row>
    <row r="265" spans="1:18" s="905" customFormat="1" ht="18" customHeight="1">
      <c r="A265" s="924" t="s">
        <v>986</v>
      </c>
      <c r="B265" s="919" t="s">
        <v>34</v>
      </c>
      <c r="C265" s="919"/>
      <c r="D265" s="919"/>
      <c r="E265" s="919"/>
      <c r="F265" s="919"/>
      <c r="G265" s="919"/>
      <c r="H265" s="925">
        <f>BS!L13/BS!L76</f>
        <v>0.06</v>
      </c>
      <c r="I265" s="925"/>
      <c r="J265" s="925">
        <f>BS!N13/BS!N76</f>
        <v>7.0000000000000007E-2</v>
      </c>
      <c r="K265" s="926"/>
      <c r="L265" s="906"/>
      <c r="N265" s="906"/>
      <c r="R265" s="906"/>
    </row>
    <row r="266" spans="1:18" s="905" customFormat="1" ht="7.5" customHeight="1">
      <c r="A266" s="924"/>
      <c r="B266" s="919"/>
      <c r="C266" s="919"/>
      <c r="D266" s="919"/>
      <c r="E266" s="919"/>
      <c r="F266" s="919"/>
      <c r="G266" s="919"/>
      <c r="H266" s="927"/>
      <c r="I266" s="925"/>
      <c r="J266" s="925"/>
      <c r="K266" s="926"/>
      <c r="L266" s="906"/>
      <c r="N266" s="906"/>
      <c r="R266" s="906"/>
    </row>
    <row r="267" spans="1:18" s="905" customFormat="1" ht="18" customHeight="1">
      <c r="A267" s="911">
        <v>3</v>
      </c>
      <c r="B267" s="912" t="s">
        <v>370</v>
      </c>
      <c r="C267" s="912"/>
      <c r="D267" s="912"/>
      <c r="E267" s="912"/>
      <c r="F267" s="912"/>
      <c r="G267" s="912"/>
      <c r="H267" s="913"/>
      <c r="I267" s="910"/>
      <c r="J267" s="910"/>
      <c r="L267" s="906"/>
      <c r="N267" s="906"/>
      <c r="R267" s="906"/>
    </row>
    <row r="268" spans="1:18" s="905" customFormat="1" ht="18" customHeight="1">
      <c r="A268" s="914" t="s">
        <v>987</v>
      </c>
      <c r="B268" s="915" t="s">
        <v>371</v>
      </c>
      <c r="C268" s="915"/>
      <c r="D268" s="915"/>
      <c r="E268" s="915"/>
      <c r="F268" s="915"/>
      <c r="G268" s="915"/>
      <c r="H268" s="928"/>
      <c r="I268" s="910"/>
      <c r="J268" s="910"/>
      <c r="L268" s="906"/>
      <c r="N268" s="906"/>
      <c r="R268" s="906"/>
    </row>
    <row r="269" spans="1:18" s="905" customFormat="1" ht="18" customHeight="1">
      <c r="A269" s="918" t="s">
        <v>1389</v>
      </c>
      <c r="B269" s="919" t="s">
        <v>25</v>
      </c>
      <c r="C269" s="919"/>
      <c r="D269" s="919"/>
      <c r="E269" s="919"/>
      <c r="F269" s="919"/>
      <c r="G269" s="919"/>
      <c r="H269" s="920">
        <f>PI!M30/PI!M18</f>
        <v>2.07E-2</v>
      </c>
      <c r="I269" s="920"/>
      <c r="J269" s="920">
        <f>PI!O30/PI!O18</f>
        <v>3.3099999999999997E-2</v>
      </c>
      <c r="L269" s="906"/>
      <c r="N269" s="906"/>
      <c r="R269" s="906"/>
    </row>
    <row r="270" spans="1:18" s="905" customFormat="1" ht="18" customHeight="1">
      <c r="A270" s="918" t="s">
        <v>1389</v>
      </c>
      <c r="B270" s="919" t="s">
        <v>26</v>
      </c>
      <c r="C270" s="919"/>
      <c r="D270" s="919"/>
      <c r="E270" s="919"/>
      <c r="F270" s="919"/>
      <c r="G270" s="919"/>
      <c r="H270" s="920">
        <f>PI!M33/PI!M18</f>
        <v>1.66E-2</v>
      </c>
      <c r="I270" s="920"/>
      <c r="J270" s="920">
        <f>PI!O33/PI!O18</f>
        <v>2.7300000000000001E-2</v>
      </c>
      <c r="L270" s="906"/>
      <c r="N270" s="906"/>
      <c r="R270" s="906"/>
    </row>
    <row r="271" spans="1:18" s="905" customFormat="1" ht="18" customHeight="1">
      <c r="A271" s="914" t="s">
        <v>988</v>
      </c>
      <c r="B271" s="915" t="s">
        <v>27</v>
      </c>
      <c r="C271" s="915"/>
      <c r="D271" s="915"/>
      <c r="E271" s="915"/>
      <c r="F271" s="915"/>
      <c r="G271" s="915"/>
      <c r="H271" s="916"/>
      <c r="I271" s="917"/>
      <c r="J271" s="917"/>
      <c r="L271" s="906"/>
      <c r="N271" s="906"/>
      <c r="R271" s="906"/>
    </row>
    <row r="272" spans="1:18" s="905" customFormat="1" ht="18" customHeight="1">
      <c r="A272" s="918" t="s">
        <v>1389</v>
      </c>
      <c r="B272" s="919" t="s">
        <v>28</v>
      </c>
      <c r="C272" s="919"/>
      <c r="D272" s="919"/>
      <c r="E272" s="919"/>
      <c r="F272" s="919"/>
      <c r="G272" s="919"/>
      <c r="H272" s="920">
        <f ca="1">PI!M30/BS!L70</f>
        <v>6.8999999999999999E-3</v>
      </c>
      <c r="I272" s="920"/>
      <c r="J272" s="920">
        <f>PI!O30/BS!N70</f>
        <v>1.7399999999999999E-2</v>
      </c>
      <c r="L272" s="906"/>
      <c r="N272" s="906"/>
      <c r="R272" s="906"/>
    </row>
    <row r="273" spans="1:18" s="905" customFormat="1" ht="18" customHeight="1">
      <c r="A273" s="918" t="s">
        <v>1389</v>
      </c>
      <c r="B273" s="919" t="s">
        <v>29</v>
      </c>
      <c r="C273" s="919"/>
      <c r="D273" s="919"/>
      <c r="E273" s="919"/>
      <c r="F273" s="919"/>
      <c r="G273" s="919"/>
      <c r="H273" s="920">
        <f ca="1">PI!M33/BS!L70</f>
        <v>5.4999999999999997E-3</v>
      </c>
      <c r="I273" s="920"/>
      <c r="J273" s="920">
        <f>PI!O33/BS!N70</f>
        <v>1.44E-2</v>
      </c>
      <c r="L273" s="906"/>
      <c r="N273" s="906"/>
      <c r="R273" s="906"/>
    </row>
    <row r="274" spans="1:18" s="905" customFormat="1" ht="15.75">
      <c r="B274" s="910"/>
      <c r="C274" s="910"/>
      <c r="D274" s="910"/>
      <c r="E274" s="910"/>
      <c r="F274" s="910"/>
      <c r="G274" s="910"/>
      <c r="H274" s="917"/>
      <c r="I274" s="917"/>
      <c r="J274" s="917"/>
      <c r="L274" s="906"/>
      <c r="N274" s="906"/>
      <c r="R274" s="906"/>
    </row>
    <row r="275" spans="1:18" s="155" customFormat="1" ht="20.25" customHeight="1">
      <c r="B275" s="1563"/>
      <c r="C275" s="1563"/>
      <c r="D275" s="1563"/>
      <c r="H275" s="1150" t="str">
        <f>'Ten '!A19</f>
        <v>Hµ Néi, ngµy 30 th¸ng 07 n¨m 2013</v>
      </c>
      <c r="I275" s="156"/>
      <c r="J275" s="895"/>
      <c r="L275" s="518"/>
      <c r="M275" s="157"/>
      <c r="N275" s="518"/>
      <c r="R275" s="518"/>
    </row>
    <row r="276" spans="1:18" s="157" customFormat="1" ht="20.25" customHeight="1">
      <c r="B276" s="1563" t="s">
        <v>283</v>
      </c>
      <c r="C276" s="1563"/>
      <c r="D276" s="1563"/>
      <c r="F276" s="157" t="s">
        <v>707</v>
      </c>
      <c r="H276" s="1750" t="str">
        <f>'Ten '!B14</f>
        <v>Tæng Gi¸m ®èc</v>
      </c>
      <c r="I276" s="1750"/>
      <c r="J276" s="1750"/>
      <c r="L276" s="518"/>
      <c r="N276" s="518"/>
      <c r="R276" s="518"/>
    </row>
    <row r="277" spans="1:18" s="157" customFormat="1" ht="18" customHeight="1">
      <c r="B277" s="570"/>
      <c r="H277" s="518"/>
      <c r="I277" s="518"/>
      <c r="J277" s="518"/>
      <c r="L277" s="518"/>
      <c r="N277" s="518"/>
      <c r="R277" s="518"/>
    </row>
    <row r="278" spans="1:18" s="157" customFormat="1" ht="18" customHeight="1">
      <c r="B278" s="570"/>
      <c r="H278" s="518"/>
      <c r="I278" s="518"/>
      <c r="J278" s="518"/>
      <c r="L278" s="518"/>
      <c r="N278" s="518"/>
      <c r="R278" s="518"/>
    </row>
    <row r="279" spans="1:18" s="157" customFormat="1" ht="18" customHeight="1">
      <c r="B279" s="570"/>
      <c r="H279" s="518"/>
      <c r="I279" s="518"/>
      <c r="J279" s="518"/>
      <c r="L279" s="518"/>
      <c r="N279" s="518"/>
      <c r="R279" s="518"/>
    </row>
    <row r="280" spans="1:18" s="157" customFormat="1" ht="18" customHeight="1">
      <c r="B280" s="570"/>
      <c r="H280" s="518"/>
      <c r="I280" s="518"/>
      <c r="J280" s="518"/>
      <c r="L280" s="518"/>
      <c r="N280" s="518"/>
      <c r="R280" s="518"/>
    </row>
    <row r="281" spans="1:18" s="157" customFormat="1" ht="20.25" customHeight="1">
      <c r="B281" s="1564" t="str">
        <f>BS!$A$135</f>
        <v>Lª Träng NghÜa</v>
      </c>
      <c r="C281" s="1564"/>
      <c r="D281" s="1564"/>
      <c r="F281" s="157" t="s">
        <v>1245</v>
      </c>
      <c r="H281" s="1750" t="str">
        <f>BS!$H$135</f>
        <v>Hoµng V¨n To¶n</v>
      </c>
      <c r="I281" s="1750"/>
      <c r="J281" s="1750"/>
      <c r="L281" s="518"/>
      <c r="N281" s="518"/>
      <c r="R281" s="518"/>
    </row>
    <row r="282" spans="1:18" s="155" customFormat="1" ht="18" customHeight="1">
      <c r="A282" s="899"/>
      <c r="B282" s="571"/>
      <c r="H282" s="156"/>
      <c r="I282" s="156"/>
      <c r="J282" s="156"/>
      <c r="L282" s="518"/>
      <c r="M282" s="157"/>
      <c r="N282" s="518"/>
      <c r="R282" s="518"/>
    </row>
  </sheetData>
  <mergeCells count="67">
    <mergeCell ref="B132:F132"/>
    <mergeCell ref="B127:F127"/>
    <mergeCell ref="B48:J48"/>
    <mergeCell ref="B49:J49"/>
    <mergeCell ref="B60:J60"/>
    <mergeCell ref="H61:J61"/>
    <mergeCell ref="H79:J79"/>
    <mergeCell ref="B159:F159"/>
    <mergeCell ref="B141:F141"/>
    <mergeCell ref="B120:F120"/>
    <mergeCell ref="B122:F122"/>
    <mergeCell ref="B139:F139"/>
    <mergeCell ref="B140:F140"/>
    <mergeCell ref="B121:F121"/>
    <mergeCell ref="B137:F137"/>
    <mergeCell ref="B129:F129"/>
    <mergeCell ref="B130:F130"/>
    <mergeCell ref="B142:F142"/>
    <mergeCell ref="B156:J156"/>
    <mergeCell ref="B131:F131"/>
    <mergeCell ref="B124:J124"/>
    <mergeCell ref="B125:F125"/>
    <mergeCell ref="B126:F126"/>
    <mergeCell ref="B160:F160"/>
    <mergeCell ref="B161:F161"/>
    <mergeCell ref="B193:J193"/>
    <mergeCell ref="B196:J196"/>
    <mergeCell ref="B194:J194"/>
    <mergeCell ref="B174:J174"/>
    <mergeCell ref="B175:J175"/>
    <mergeCell ref="B186:J186"/>
    <mergeCell ref="B177:J177"/>
    <mergeCell ref="B165:F165"/>
    <mergeCell ref="H281:J281"/>
    <mergeCell ref="H276:J276"/>
    <mergeCell ref="B245:J245"/>
    <mergeCell ref="B249:J249"/>
    <mergeCell ref="A252:F252"/>
    <mergeCell ref="B235:D236"/>
    <mergeCell ref="B242:J242"/>
    <mergeCell ref="B128:F128"/>
    <mergeCell ref="B138:F138"/>
    <mergeCell ref="B164:F164"/>
    <mergeCell ref="B133:F133"/>
    <mergeCell ref="B134:F134"/>
    <mergeCell ref="B158:F158"/>
    <mergeCell ref="H226:H227"/>
    <mergeCell ref="B232:D233"/>
    <mergeCell ref="E203:F203"/>
    <mergeCell ref="B215:J215"/>
    <mergeCell ref="E202:F202"/>
    <mergeCell ref="B206:J206"/>
    <mergeCell ref="B207:J207"/>
    <mergeCell ref="B226:D227"/>
    <mergeCell ref="B162:F162"/>
    <mergeCell ref="B229:D229"/>
    <mergeCell ref="B199:D199"/>
    <mergeCell ref="E200:F200"/>
    <mergeCell ref="E199:F199"/>
    <mergeCell ref="B213:J213"/>
    <mergeCell ref="B166:F166"/>
    <mergeCell ref="E201:F201"/>
    <mergeCell ref="B163:F163"/>
    <mergeCell ref="B209:J209"/>
    <mergeCell ref="B211:J211"/>
    <mergeCell ref="B223:D224"/>
    <mergeCell ref="H223:H224"/>
  </mergeCells>
  <phoneticPr fontId="36" type="noConversion"/>
  <pageMargins left="0.75" right="0.2" top="0.46" bottom="0.79" header="0.3" footer="0.32"/>
  <pageSetup paperSize="9" firstPageNumber="32" orientation="portrait" useFirstPageNumber="1" r:id="rId1"/>
  <headerFooter alignWithMargins="0">
    <oddFooter>&amp;C
&amp;P</oddFooter>
  </headerFooter>
  <rowBreaks count="4" manualBreakCount="4">
    <brk id="73" max="10" man="1"/>
    <brk id="119" max="10" man="1"/>
    <brk id="196" max="10" man="1"/>
    <brk id="238" max="10" man="1"/>
  </rowBreaks>
</worksheet>
</file>

<file path=xl/worksheets/sheet49.xml><?xml version="1.0" encoding="utf-8"?>
<worksheet xmlns="http://schemas.openxmlformats.org/spreadsheetml/2006/main" xmlns:r="http://schemas.openxmlformats.org/officeDocument/2006/relationships">
  <sheetPr codeName="Sheet19"/>
  <dimension ref="A2:F10"/>
  <sheetViews>
    <sheetView workbookViewId="0">
      <selection activeCell="B72" sqref="B72"/>
    </sheetView>
  </sheetViews>
  <sheetFormatPr defaultRowHeight="15"/>
  <cols>
    <col min="1" max="1" width="27.625" customWidth="1"/>
    <col min="2" max="6" width="13.625" style="1149" customWidth="1"/>
  </cols>
  <sheetData>
    <row r="2" spans="1:6">
      <c r="B2" s="1149" t="s">
        <v>1425</v>
      </c>
    </row>
    <row r="3" spans="1:6">
      <c r="B3" s="1149">
        <v>621</v>
      </c>
      <c r="C3" s="1149">
        <v>622</v>
      </c>
      <c r="D3" s="1149">
        <v>627</v>
      </c>
      <c r="E3" s="1149">
        <v>641</v>
      </c>
      <c r="F3" s="1149">
        <v>642</v>
      </c>
    </row>
    <row r="4" spans="1:6">
      <c r="A4" s="566" t="s">
        <v>796</v>
      </c>
      <c r="B4" s="1149">
        <v>7059286158</v>
      </c>
    </row>
    <row r="5" spans="1:6">
      <c r="A5" s="566" t="s">
        <v>1556</v>
      </c>
      <c r="C5" s="1149">
        <v>1080291437</v>
      </c>
      <c r="D5" s="1149">
        <f>78654944+64550252</f>
        <v>143205196</v>
      </c>
    </row>
    <row r="6" spans="1:6">
      <c r="A6" s="566" t="s">
        <v>1423</v>
      </c>
    </row>
    <row r="7" spans="1:6">
      <c r="A7" s="566" t="s">
        <v>960</v>
      </c>
      <c r="D7" s="1149">
        <f>84649544+44483984+3741150</f>
        <v>132874678</v>
      </c>
    </row>
    <row r="8" spans="1:6">
      <c r="A8" s="566" t="s">
        <v>1424</v>
      </c>
    </row>
    <row r="9" spans="1:6">
      <c r="A9" s="566" t="s">
        <v>961</v>
      </c>
    </row>
    <row r="10" spans="1:6">
      <c r="A10" s="566" t="s">
        <v>962</v>
      </c>
      <c r="D10" s="1149">
        <f>691574842+189711787</f>
        <v>881286629</v>
      </c>
    </row>
  </sheetData>
  <phoneticPr fontId="36"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sheetPr codeName="Sheet5" enableFormatConditionsCalculation="0">
    <tabColor indexed="10"/>
  </sheetPr>
  <dimension ref="A1:S108"/>
  <sheetViews>
    <sheetView workbookViewId="0">
      <pane xSplit="3" ySplit="6" topLeftCell="D95" activePane="bottomRight" state="frozen"/>
      <selection activeCell="B72" sqref="B72"/>
      <selection pane="topRight" activeCell="B72" sqref="B72"/>
      <selection pane="bottomLeft" activeCell="B72" sqref="B72"/>
      <selection pane="bottomRight" activeCell="B72" sqref="B72"/>
    </sheetView>
  </sheetViews>
  <sheetFormatPr defaultRowHeight="15"/>
  <cols>
    <col min="1" max="1" width="6.625" customWidth="1"/>
    <col min="2" max="2" width="8" customWidth="1"/>
    <col min="3" max="3" width="26.375" customWidth="1"/>
    <col min="4" max="4" width="13.75" bestFit="1" customWidth="1"/>
    <col min="5" max="5" width="12.625" bestFit="1" customWidth="1"/>
    <col min="6" max="6" width="13.625" bestFit="1" customWidth="1"/>
    <col min="7" max="7" width="16.625" customWidth="1"/>
    <col min="8" max="8" width="12.625" bestFit="1" customWidth="1"/>
    <col min="9" max="9" width="14" customWidth="1"/>
    <col min="10" max="10" width="12.25" customWidth="1"/>
    <col min="11" max="11" width="10" customWidth="1"/>
    <col min="12" max="12" width="14" customWidth="1"/>
    <col min="13" max="13" width="13.125" customWidth="1"/>
    <col min="16" max="16" width="15.875" customWidth="1"/>
    <col min="17" max="17" width="16.75" customWidth="1"/>
    <col min="18" max="18" width="14" customWidth="1"/>
    <col min="19" max="19" width="13.625" customWidth="1"/>
  </cols>
  <sheetData>
    <row r="1" spans="1:19" ht="16.5">
      <c r="A1" s="42" t="str">
        <f>'Ten '!A10</f>
        <v>C«ng ty Cæ phÇn §Çu t­ &amp; Th­¬ng m¹i DÇu KhÝ S«ng §µ</v>
      </c>
      <c r="B1" s="21"/>
      <c r="C1" s="22"/>
      <c r="D1" s="936"/>
      <c r="E1" s="936"/>
      <c r="F1" s="936"/>
      <c r="G1" s="936"/>
      <c r="H1" s="936"/>
      <c r="I1" s="936"/>
      <c r="J1" s="147"/>
      <c r="K1" s="147"/>
      <c r="L1" s="147"/>
      <c r="M1" s="58" t="s">
        <v>1502</v>
      </c>
      <c r="N1" s="937"/>
      <c r="O1" s="51"/>
      <c r="P1" s="51"/>
      <c r="Q1" s="51"/>
      <c r="R1" s="51"/>
      <c r="S1" s="51"/>
    </row>
    <row r="2" spans="1:19" ht="20.25">
      <c r="A2" s="1576" t="s">
        <v>1595</v>
      </c>
      <c r="B2" s="1576"/>
      <c r="C2" s="1576"/>
      <c r="D2" s="1576"/>
      <c r="E2" s="1576"/>
      <c r="F2" s="1576"/>
      <c r="G2" s="1576"/>
      <c r="H2" s="1576"/>
      <c r="I2" s="1576"/>
      <c r="J2" s="1576"/>
      <c r="K2" s="1576"/>
      <c r="L2" s="1576"/>
      <c r="M2" s="1576"/>
      <c r="N2" s="938"/>
      <c r="O2" s="51"/>
      <c r="P2" s="51"/>
      <c r="Q2" s="51"/>
      <c r="R2" s="51"/>
      <c r="S2" s="51"/>
    </row>
    <row r="3" spans="1:19" ht="15.75">
      <c r="A3" s="1577" t="s">
        <v>33</v>
      </c>
      <c r="B3" s="1577"/>
      <c r="C3" s="1577"/>
      <c r="D3" s="1577"/>
      <c r="E3" s="1577"/>
      <c r="F3" s="1577"/>
      <c r="G3" s="1577"/>
      <c r="H3" s="1577"/>
      <c r="I3" s="1577"/>
      <c r="J3" s="1577"/>
      <c r="K3" s="1577"/>
      <c r="L3" s="1577"/>
      <c r="M3" s="1577"/>
      <c r="N3" s="939"/>
      <c r="O3" s="51"/>
      <c r="P3" s="51"/>
      <c r="Q3" s="51"/>
      <c r="R3" s="51"/>
      <c r="S3" s="51"/>
    </row>
    <row r="4" spans="1:19" ht="15.75">
      <c r="A4" s="24"/>
      <c r="B4" s="24"/>
      <c r="C4" s="23"/>
      <c r="D4" s="147"/>
      <c r="E4" s="147"/>
      <c r="F4" s="147"/>
      <c r="G4" s="147"/>
      <c r="H4" s="147"/>
      <c r="I4" s="147"/>
      <c r="J4" s="147"/>
      <c r="K4" s="147"/>
      <c r="L4" s="147"/>
      <c r="M4" s="44" t="s">
        <v>257</v>
      </c>
      <c r="N4" s="940" t="s">
        <v>1596</v>
      </c>
      <c r="O4" s="51"/>
      <c r="P4" s="51"/>
      <c r="Q4" s="51"/>
      <c r="R4" s="51"/>
      <c r="S4" s="51"/>
    </row>
    <row r="5" spans="1:19" ht="15.75">
      <c r="A5" s="1578" t="s">
        <v>1488</v>
      </c>
      <c r="B5" s="1579" t="s">
        <v>1525</v>
      </c>
      <c r="C5" s="1581" t="s">
        <v>1332</v>
      </c>
      <c r="D5" s="1573" t="s">
        <v>1597</v>
      </c>
      <c r="E5" s="1574"/>
      <c r="F5" s="1573" t="s">
        <v>1598</v>
      </c>
      <c r="G5" s="1574"/>
      <c r="H5" s="1573" t="s">
        <v>1599</v>
      </c>
      <c r="I5" s="1574"/>
      <c r="J5" s="1582" t="s">
        <v>1600</v>
      </c>
      <c r="K5" s="1582"/>
      <c r="L5" s="1573" t="s">
        <v>1601</v>
      </c>
      <c r="M5" s="1574"/>
      <c r="N5" s="1575" t="s">
        <v>1571</v>
      </c>
      <c r="O5" s="52" t="s">
        <v>1526</v>
      </c>
      <c r="P5" s="52" t="s">
        <v>1602</v>
      </c>
      <c r="Q5" s="52"/>
      <c r="R5" s="52" t="s">
        <v>1603</v>
      </c>
      <c r="S5" s="52"/>
    </row>
    <row r="6" spans="1:19" ht="15.75">
      <c r="A6" s="1578"/>
      <c r="B6" s="1580"/>
      <c r="C6" s="1581"/>
      <c r="D6" s="1" t="s">
        <v>1329</v>
      </c>
      <c r="E6" s="1" t="s">
        <v>1330</v>
      </c>
      <c r="F6" s="1" t="s">
        <v>1329</v>
      </c>
      <c r="G6" s="1" t="s">
        <v>1330</v>
      </c>
      <c r="H6" s="1"/>
      <c r="I6" s="1"/>
      <c r="J6" s="1" t="s">
        <v>1329</v>
      </c>
      <c r="K6" s="1" t="s">
        <v>1330</v>
      </c>
      <c r="L6" s="1"/>
      <c r="M6" s="1"/>
      <c r="N6" s="1575"/>
      <c r="O6" s="54" t="str">
        <f>IF(OR(J6&lt;&gt;0,K6&lt;&gt;0),"Print","")</f>
        <v>Print</v>
      </c>
      <c r="P6" s="53" t="s">
        <v>1604</v>
      </c>
      <c r="Q6" s="53" t="s">
        <v>1605</v>
      </c>
      <c r="R6" s="53" t="s">
        <v>1604</v>
      </c>
      <c r="S6" s="53" t="s">
        <v>1605</v>
      </c>
    </row>
    <row r="7" spans="1:19">
      <c r="A7" s="33" t="s">
        <v>1454</v>
      </c>
      <c r="B7" s="33" t="str">
        <f>LEFT(A7,4)</f>
        <v>N011</v>
      </c>
      <c r="C7" s="34" t="s">
        <v>771</v>
      </c>
      <c r="D7" s="941">
        <v>100893471</v>
      </c>
      <c r="E7" s="941">
        <v>0</v>
      </c>
      <c r="F7" s="941"/>
      <c r="G7" s="941"/>
      <c r="H7" s="941">
        <f>IF(D7+F7-E7-G7&gt;0,D7+F7-E7-G7,0)</f>
        <v>100893471</v>
      </c>
      <c r="I7" s="941">
        <f>IF(E7+G7-F7-D7&gt;0,G7+E7-F7-D7,0)</f>
        <v>0</v>
      </c>
      <c r="J7" s="941">
        <f>SUMIF(BTDC!$E$8:$E$32,BCDPS!A7,BTDC!$I$8:$I$32)</f>
        <v>0</v>
      </c>
      <c r="K7" s="941">
        <f>SUMIF(BTDC!$F$8:$F$32,BCDPS!B7,BTDC!$I$8:$I$32)</f>
        <v>0</v>
      </c>
      <c r="L7" s="941">
        <f>H7+J7</f>
        <v>100893471</v>
      </c>
      <c r="M7" s="941">
        <f t="shared" ref="M7:M71" si="0">I7+K7</f>
        <v>0</v>
      </c>
      <c r="N7" s="942">
        <f>J7-K7</f>
        <v>0</v>
      </c>
      <c r="O7" s="54" t="str">
        <f t="shared" ref="O7:O72" si="1">IF(OR(J7&lt;&gt;0,K7&lt;&gt;0),"Print","")</f>
        <v/>
      </c>
      <c r="P7" s="54"/>
      <c r="Q7" s="54"/>
      <c r="R7" s="54">
        <f>P7-D7</f>
        <v>-100893471</v>
      </c>
      <c r="S7" s="54">
        <f>Q7-E7</f>
        <v>0</v>
      </c>
    </row>
    <row r="8" spans="1:19">
      <c r="A8" s="35" t="s">
        <v>1455</v>
      </c>
      <c r="B8" s="33" t="str">
        <f t="shared" ref="B8:B70" si="2">LEFT(A8,4)</f>
        <v>N011</v>
      </c>
      <c r="C8" s="36" t="s">
        <v>1457</v>
      </c>
      <c r="D8" s="943">
        <v>7422282290</v>
      </c>
      <c r="E8" s="943">
        <v>0</v>
      </c>
      <c r="F8" s="943"/>
      <c r="G8" s="943"/>
      <c r="H8" s="941">
        <f t="shared" ref="H8:H72" si="3">IF(D8+F8-E8-G8&gt;0,D8+F8-E8-G8,0)</f>
        <v>7422282290</v>
      </c>
      <c r="I8" s="941">
        <f t="shared" ref="I8:I72" si="4">IF(E8+G8-F8-D8&gt;0,G8+E8-F8-D8,0)</f>
        <v>0</v>
      </c>
      <c r="J8" s="941">
        <f>SUMIF(BTDC!$E$8:$E$32,BCDPS!A8,BTDC!$I$8:$I$32)</f>
        <v>0</v>
      </c>
      <c r="K8" s="941">
        <f>SUMIF(BTDC!$F$8:$F$32,BCDPS!B8,BTDC!$I$8:$I$32)</f>
        <v>0</v>
      </c>
      <c r="L8" s="941">
        <f t="shared" ref="L8:M72" si="5">H8+J8</f>
        <v>7422282290</v>
      </c>
      <c r="M8" s="941">
        <f t="shared" si="0"/>
        <v>0</v>
      </c>
      <c r="N8" s="942">
        <f t="shared" ref="N8:N57" si="6">J8-K8</f>
        <v>0</v>
      </c>
      <c r="O8" s="54" t="str">
        <f t="shared" si="1"/>
        <v/>
      </c>
      <c r="P8" s="54"/>
      <c r="Q8" s="54"/>
      <c r="R8" s="54">
        <f t="shared" ref="R8:S72" si="7">P8-D8</f>
        <v>-7422282290</v>
      </c>
      <c r="S8" s="54">
        <f t="shared" si="7"/>
        <v>0</v>
      </c>
    </row>
    <row r="9" spans="1:19">
      <c r="A9" s="35" t="s">
        <v>1456</v>
      </c>
      <c r="B9" s="33" t="str">
        <f t="shared" si="2"/>
        <v>N011</v>
      </c>
      <c r="C9" s="34" t="s">
        <v>772</v>
      </c>
      <c r="D9" s="941">
        <v>0</v>
      </c>
      <c r="E9" s="941">
        <v>0</v>
      </c>
      <c r="F9" s="941"/>
      <c r="G9" s="941"/>
      <c r="H9" s="941">
        <f t="shared" si="3"/>
        <v>0</v>
      </c>
      <c r="I9" s="941">
        <f t="shared" si="4"/>
        <v>0</v>
      </c>
      <c r="J9" s="941">
        <f>SUMIF(BTDC!$E$8:$E$32,BCDPS!A9,BTDC!$I$8:$I$32)</f>
        <v>0</v>
      </c>
      <c r="K9" s="941">
        <f>SUMIF(BTDC!$F$8:$F$32,BCDPS!B9,BTDC!$I$8:$I$32)</f>
        <v>0</v>
      </c>
      <c r="L9" s="941">
        <f t="shared" si="5"/>
        <v>0</v>
      </c>
      <c r="M9" s="941">
        <f t="shared" si="0"/>
        <v>0</v>
      </c>
      <c r="N9" s="942">
        <f t="shared" si="6"/>
        <v>0</v>
      </c>
      <c r="O9" s="54" t="str">
        <f t="shared" si="1"/>
        <v/>
      </c>
      <c r="P9" s="54"/>
      <c r="Q9" s="54"/>
      <c r="R9" s="54">
        <f t="shared" si="7"/>
        <v>0</v>
      </c>
      <c r="S9" s="54">
        <f t="shared" si="7"/>
        <v>0</v>
      </c>
    </row>
    <row r="10" spans="1:19">
      <c r="A10" s="35" t="s">
        <v>1489</v>
      </c>
      <c r="B10" s="33" t="str">
        <f t="shared" si="2"/>
        <v>N012</v>
      </c>
      <c r="C10" s="34" t="s">
        <v>772</v>
      </c>
      <c r="D10" s="941">
        <v>0</v>
      </c>
      <c r="E10" s="941">
        <v>0</v>
      </c>
      <c r="F10" s="941"/>
      <c r="G10" s="941"/>
      <c r="H10" s="941">
        <f t="shared" si="3"/>
        <v>0</v>
      </c>
      <c r="I10" s="941">
        <f t="shared" si="4"/>
        <v>0</v>
      </c>
      <c r="J10" s="941">
        <f>SUMIF(BTDC!$E$8:$E$32,BCDPS!A10,BTDC!$I$8:$I$32)</f>
        <v>0</v>
      </c>
      <c r="K10" s="941">
        <f>SUMIF(BTDC!$F$8:$F$32,BCDPS!B10,BTDC!$I$8:$I$32)</f>
        <v>0</v>
      </c>
      <c r="L10" s="941">
        <f t="shared" si="5"/>
        <v>0</v>
      </c>
      <c r="M10" s="941">
        <f t="shared" si="0"/>
        <v>0</v>
      </c>
      <c r="N10" s="942">
        <f>J10-K10</f>
        <v>0</v>
      </c>
      <c r="O10" s="54" t="str">
        <f t="shared" si="1"/>
        <v/>
      </c>
      <c r="P10" s="54"/>
      <c r="Q10" s="54"/>
      <c r="R10" s="54">
        <f t="shared" si="7"/>
        <v>0</v>
      </c>
      <c r="S10" s="54">
        <f t="shared" si="7"/>
        <v>0</v>
      </c>
    </row>
    <row r="11" spans="1:19">
      <c r="A11" s="35" t="s">
        <v>1282</v>
      </c>
      <c r="B11" s="33" t="str">
        <f t="shared" si="2"/>
        <v>N121</v>
      </c>
      <c r="C11" s="34" t="s">
        <v>773</v>
      </c>
      <c r="D11" s="941">
        <v>550000000</v>
      </c>
      <c r="E11" s="941">
        <v>0</v>
      </c>
      <c r="F11" s="941"/>
      <c r="G11" s="941"/>
      <c r="H11" s="941">
        <f t="shared" si="3"/>
        <v>550000000</v>
      </c>
      <c r="I11" s="941">
        <f t="shared" si="4"/>
        <v>0</v>
      </c>
      <c r="J11" s="941">
        <f>SUMIF(BTDC!$E$8:$E$32,BCDPS!A11,BTDC!$I$8:$I$32)</f>
        <v>0</v>
      </c>
      <c r="K11" s="941">
        <f>SUMIF(BTDC!$F$8:$F$32,BCDPS!B11,BTDC!$I$8:$I$32)</f>
        <v>0</v>
      </c>
      <c r="L11" s="941">
        <f t="shared" si="5"/>
        <v>550000000</v>
      </c>
      <c r="M11" s="941">
        <f t="shared" si="0"/>
        <v>0</v>
      </c>
      <c r="N11" s="942">
        <f t="shared" si="6"/>
        <v>0</v>
      </c>
      <c r="O11" s="54" t="str">
        <f t="shared" si="1"/>
        <v/>
      </c>
      <c r="P11" s="54"/>
      <c r="Q11" s="54"/>
      <c r="R11" s="54">
        <f t="shared" si="7"/>
        <v>-550000000</v>
      </c>
      <c r="S11" s="54">
        <f t="shared" si="7"/>
        <v>0</v>
      </c>
    </row>
    <row r="12" spans="1:19">
      <c r="A12" s="35" t="s">
        <v>866</v>
      </c>
      <c r="B12" s="33" t="str">
        <f t="shared" si="2"/>
        <v>N129</v>
      </c>
      <c r="C12" s="34" t="s">
        <v>1269</v>
      </c>
      <c r="D12" s="941">
        <v>0</v>
      </c>
      <c r="E12" s="941">
        <v>0</v>
      </c>
      <c r="F12" s="941"/>
      <c r="G12" s="941"/>
      <c r="H12" s="941">
        <f t="shared" si="3"/>
        <v>0</v>
      </c>
      <c r="I12" s="941">
        <f t="shared" si="4"/>
        <v>0</v>
      </c>
      <c r="J12" s="941">
        <f>SUMIF(BTDC!$E$8:$E$32,BCDPS!A12,BTDC!$I$8:$I$32)</f>
        <v>0</v>
      </c>
      <c r="K12" s="941">
        <f>SUMIF(BTDC!$F$8:$F$32,BCDPS!B12,BTDC!$I$8:$I$32)</f>
        <v>0</v>
      </c>
      <c r="L12" s="941">
        <f t="shared" si="5"/>
        <v>0</v>
      </c>
      <c r="M12" s="941">
        <f t="shared" si="0"/>
        <v>0</v>
      </c>
      <c r="N12" s="942">
        <f t="shared" si="6"/>
        <v>0</v>
      </c>
      <c r="O12" s="54" t="str">
        <f t="shared" si="1"/>
        <v/>
      </c>
      <c r="P12" s="54"/>
      <c r="Q12" s="54"/>
      <c r="R12" s="54">
        <f t="shared" si="7"/>
        <v>0</v>
      </c>
      <c r="S12" s="54">
        <f t="shared" si="7"/>
        <v>0</v>
      </c>
    </row>
    <row r="13" spans="1:19">
      <c r="A13" s="35" t="s">
        <v>1275</v>
      </c>
      <c r="B13" s="33" t="str">
        <f t="shared" si="2"/>
        <v>N131</v>
      </c>
      <c r="C13" s="34" t="s">
        <v>1290</v>
      </c>
      <c r="D13" s="941">
        <v>7901614805</v>
      </c>
      <c r="E13" s="941"/>
      <c r="F13" s="941"/>
      <c r="G13" s="941"/>
      <c r="H13" s="941">
        <v>7901614805</v>
      </c>
      <c r="I13" s="941"/>
      <c r="J13" s="941">
        <f>SUMIF(BTDC!$E$8:$E$32,BCDPS!A13,BTDC!$I$8:$I$32)</f>
        <v>0</v>
      </c>
      <c r="K13" s="941">
        <f>SUMIF(BTDC!$F$8:$F$32,BCDPS!B13,BTDC!$I$8:$I$32)</f>
        <v>0</v>
      </c>
      <c r="L13" s="941">
        <f t="shared" si="5"/>
        <v>7901614805</v>
      </c>
      <c r="M13" s="941">
        <f t="shared" si="0"/>
        <v>0</v>
      </c>
      <c r="N13" s="942">
        <f>J13-K13</f>
        <v>0</v>
      </c>
      <c r="O13" s="54" t="str">
        <f t="shared" si="1"/>
        <v/>
      </c>
      <c r="P13" s="54"/>
      <c r="Q13" s="54"/>
      <c r="R13" s="54">
        <f t="shared" si="7"/>
        <v>-7901614805</v>
      </c>
      <c r="S13" s="54">
        <f t="shared" si="7"/>
        <v>0</v>
      </c>
    </row>
    <row r="14" spans="1:19">
      <c r="A14" s="35" t="s">
        <v>1272</v>
      </c>
      <c r="B14" s="33" t="str">
        <f t="shared" si="2"/>
        <v>D131</v>
      </c>
      <c r="C14" s="34" t="s">
        <v>1283</v>
      </c>
      <c r="D14" s="941">
        <v>0</v>
      </c>
      <c r="E14" s="941">
        <v>0</v>
      </c>
      <c r="F14" s="941"/>
      <c r="G14" s="941"/>
      <c r="H14" s="941">
        <f t="shared" si="3"/>
        <v>0</v>
      </c>
      <c r="I14" s="941">
        <f t="shared" si="4"/>
        <v>0</v>
      </c>
      <c r="J14" s="941">
        <f>SUMIF(BTDC!$E$8:$E$32,BCDPS!A14,BTDC!$I$8:$I$32)</f>
        <v>0</v>
      </c>
      <c r="K14" s="941">
        <f>SUMIF(BTDC!$F$8:$F$32,BCDPS!B14,BTDC!$I$8:$I$32)</f>
        <v>0</v>
      </c>
      <c r="L14" s="941">
        <f t="shared" si="5"/>
        <v>0</v>
      </c>
      <c r="M14" s="941">
        <f t="shared" si="0"/>
        <v>0</v>
      </c>
      <c r="N14" s="942">
        <f t="shared" si="6"/>
        <v>0</v>
      </c>
      <c r="O14" s="54" t="str">
        <f t="shared" si="1"/>
        <v/>
      </c>
      <c r="P14" s="54"/>
      <c r="Q14" s="54"/>
      <c r="R14" s="54">
        <f t="shared" si="7"/>
        <v>0</v>
      </c>
      <c r="S14" s="54">
        <f t="shared" si="7"/>
        <v>0</v>
      </c>
    </row>
    <row r="15" spans="1:19">
      <c r="A15" s="35" t="s">
        <v>1297</v>
      </c>
      <c r="B15" s="33" t="str">
        <f t="shared" si="2"/>
        <v>A331</v>
      </c>
      <c r="C15" s="34" t="s">
        <v>774</v>
      </c>
      <c r="D15" s="941">
        <v>0</v>
      </c>
      <c r="E15" s="941">
        <v>0</v>
      </c>
      <c r="F15" s="941"/>
      <c r="G15" s="941"/>
      <c r="H15" s="941">
        <f t="shared" si="3"/>
        <v>0</v>
      </c>
      <c r="I15" s="941">
        <f t="shared" si="4"/>
        <v>0</v>
      </c>
      <c r="J15" s="941">
        <f>SUMIF(BTDC!$E$8:$E$32,BCDPS!A15,BTDC!$I$8:$I$32)</f>
        <v>0</v>
      </c>
      <c r="K15" s="941">
        <f>SUMIF(BTDC!$F$8:$F$32,BCDPS!B15,BTDC!$I$8:$I$32)</f>
        <v>0</v>
      </c>
      <c r="L15" s="941">
        <f t="shared" si="5"/>
        <v>0</v>
      </c>
      <c r="M15" s="941">
        <f t="shared" si="0"/>
        <v>0</v>
      </c>
      <c r="N15" s="942">
        <f t="shared" si="6"/>
        <v>0</v>
      </c>
      <c r="O15" s="54" t="str">
        <f t="shared" si="1"/>
        <v/>
      </c>
      <c r="P15" s="54"/>
      <c r="Q15" s="54"/>
      <c r="R15" s="54">
        <f t="shared" si="7"/>
        <v>0</v>
      </c>
      <c r="S15" s="54">
        <f t="shared" si="7"/>
        <v>0</v>
      </c>
    </row>
    <row r="16" spans="1:19">
      <c r="A16" s="35" t="s">
        <v>1507</v>
      </c>
      <c r="B16" s="33" t="s">
        <v>1507</v>
      </c>
      <c r="C16" s="34" t="s">
        <v>775</v>
      </c>
      <c r="D16" s="941">
        <v>775632329</v>
      </c>
      <c r="E16" s="941">
        <v>0</v>
      </c>
      <c r="F16" s="941"/>
      <c r="G16" s="941"/>
      <c r="H16" s="941">
        <f t="shared" si="3"/>
        <v>775632329</v>
      </c>
      <c r="I16" s="941">
        <f t="shared" si="4"/>
        <v>0</v>
      </c>
      <c r="J16" s="941">
        <f>SUMIF(BTDC!$E$8:$E$32,BCDPS!A16,BTDC!$I$8:$I$32)</f>
        <v>0</v>
      </c>
      <c r="K16" s="941">
        <f>SUMIF(BTDC!$F$8:$F$32,BCDPS!B16,BTDC!$I$8:$I$32)</f>
        <v>0</v>
      </c>
      <c r="L16" s="941">
        <f t="shared" si="5"/>
        <v>775632329</v>
      </c>
      <c r="M16" s="941">
        <f t="shared" si="0"/>
        <v>0</v>
      </c>
      <c r="N16" s="942">
        <f>J16-K16</f>
        <v>0</v>
      </c>
      <c r="O16" s="54" t="str">
        <f t="shared" si="1"/>
        <v/>
      </c>
      <c r="P16" s="54"/>
      <c r="Q16" s="54"/>
      <c r="R16" s="54">
        <f t="shared" si="7"/>
        <v>-775632329</v>
      </c>
      <c r="S16" s="54">
        <f t="shared" si="7"/>
        <v>0</v>
      </c>
    </row>
    <row r="17" spans="1:19">
      <c r="A17" s="35" t="s">
        <v>1508</v>
      </c>
      <c r="B17" s="33" t="s">
        <v>1508</v>
      </c>
      <c r="C17" s="34" t="s">
        <v>1511</v>
      </c>
      <c r="D17" s="941">
        <v>0</v>
      </c>
      <c r="E17" s="941">
        <v>0</v>
      </c>
      <c r="F17" s="941"/>
      <c r="G17" s="941"/>
      <c r="H17" s="941">
        <f t="shared" si="3"/>
        <v>0</v>
      </c>
      <c r="I17" s="941">
        <f t="shared" si="4"/>
        <v>0</v>
      </c>
      <c r="J17" s="941">
        <f>SUMIF(BTDC!$E$8:$E$32,BCDPS!A17,BTDC!$I$8:$I$32)</f>
        <v>0</v>
      </c>
      <c r="K17" s="941">
        <f>SUMIF(BTDC!$F$8:$F$32,BCDPS!B17,BTDC!$I$8:$I$32)</f>
        <v>0</v>
      </c>
      <c r="L17" s="941">
        <f t="shared" si="5"/>
        <v>0</v>
      </c>
      <c r="M17" s="941">
        <f t="shared" si="0"/>
        <v>0</v>
      </c>
      <c r="N17" s="942">
        <f t="shared" si="6"/>
        <v>0</v>
      </c>
      <c r="O17" s="54" t="str">
        <f t="shared" si="1"/>
        <v/>
      </c>
      <c r="P17" s="54"/>
      <c r="Q17" s="54"/>
      <c r="R17" s="54">
        <f t="shared" si="7"/>
        <v>0</v>
      </c>
      <c r="S17" s="54">
        <f t="shared" si="7"/>
        <v>0</v>
      </c>
    </row>
    <row r="18" spans="1:19">
      <c r="A18" s="35" t="s">
        <v>1276</v>
      </c>
      <c r="B18" s="33" t="str">
        <f t="shared" si="2"/>
        <v>N134</v>
      </c>
      <c r="C18" s="34" t="s">
        <v>1271</v>
      </c>
      <c r="D18" s="941">
        <v>0</v>
      </c>
      <c r="E18" s="941">
        <v>0</v>
      </c>
      <c r="F18" s="941"/>
      <c r="G18" s="941"/>
      <c r="H18" s="941">
        <f t="shared" si="3"/>
        <v>0</v>
      </c>
      <c r="I18" s="941">
        <f t="shared" si="4"/>
        <v>0</v>
      </c>
      <c r="J18" s="941">
        <f>SUMIF(BTDC!$E$8:$E$32,BCDPS!A18,BTDC!$I$8:$I$32)</f>
        <v>0</v>
      </c>
      <c r="K18" s="941">
        <f>SUMIF(BTDC!$F$8:$F$32,BCDPS!B18,BTDC!$I$8:$I$32)</f>
        <v>0</v>
      </c>
      <c r="L18" s="941">
        <f t="shared" si="5"/>
        <v>0</v>
      </c>
      <c r="M18" s="941">
        <f t="shared" si="0"/>
        <v>0</v>
      </c>
      <c r="N18" s="942">
        <f t="shared" si="6"/>
        <v>0</v>
      </c>
      <c r="O18" s="54" t="str">
        <f t="shared" si="1"/>
        <v/>
      </c>
      <c r="P18" s="54"/>
      <c r="Q18" s="54"/>
      <c r="R18" s="54">
        <f t="shared" si="7"/>
        <v>0</v>
      </c>
      <c r="S18" s="54">
        <f t="shared" si="7"/>
        <v>0</v>
      </c>
    </row>
    <row r="19" spans="1:19">
      <c r="A19" s="35" t="s">
        <v>1278</v>
      </c>
      <c r="B19" s="33" t="str">
        <f t="shared" si="2"/>
        <v>N136</v>
      </c>
      <c r="C19" s="34" t="s">
        <v>1285</v>
      </c>
      <c r="D19" s="941">
        <v>0</v>
      </c>
      <c r="E19" s="941">
        <v>0</v>
      </c>
      <c r="F19" s="941"/>
      <c r="G19" s="941"/>
      <c r="H19" s="941">
        <f t="shared" si="3"/>
        <v>0</v>
      </c>
      <c r="I19" s="941">
        <f t="shared" si="4"/>
        <v>0</v>
      </c>
      <c r="J19" s="941">
        <f>SUMIF(BTDC!$E$8:$E$32,BCDPS!A19,BTDC!$I$8:$I$32)</f>
        <v>0</v>
      </c>
      <c r="K19" s="941">
        <f>SUMIF(BTDC!$F$8:$F$32,BCDPS!B19,BTDC!$I$8:$I$32)</f>
        <v>0</v>
      </c>
      <c r="L19" s="941">
        <f t="shared" si="5"/>
        <v>0</v>
      </c>
      <c r="M19" s="941">
        <f t="shared" si="0"/>
        <v>0</v>
      </c>
      <c r="N19" s="942">
        <f t="shared" si="6"/>
        <v>0</v>
      </c>
      <c r="O19" s="54" t="str">
        <f t="shared" si="1"/>
        <v/>
      </c>
      <c r="P19" s="54"/>
      <c r="Q19" s="54"/>
      <c r="R19" s="54">
        <f t="shared" si="7"/>
        <v>0</v>
      </c>
      <c r="S19" s="54">
        <f t="shared" si="7"/>
        <v>0</v>
      </c>
    </row>
    <row r="20" spans="1:19">
      <c r="A20" s="35" t="s">
        <v>106</v>
      </c>
      <c r="B20" s="33" t="str">
        <f t="shared" si="2"/>
        <v>D136</v>
      </c>
      <c r="C20" s="34" t="s">
        <v>107</v>
      </c>
      <c r="D20" s="941">
        <v>0</v>
      </c>
      <c r="E20" s="941">
        <v>0</v>
      </c>
      <c r="F20" s="941"/>
      <c r="G20" s="941"/>
      <c r="H20" s="941">
        <f t="shared" si="3"/>
        <v>0</v>
      </c>
      <c r="I20" s="941">
        <f t="shared" si="4"/>
        <v>0</v>
      </c>
      <c r="J20" s="941">
        <f>SUMIF(BTDC!$E$8:$E$32,BCDPS!A20,BTDC!$I$8:$I$32)</f>
        <v>0</v>
      </c>
      <c r="K20" s="941">
        <f>SUMIF(BTDC!$F$8:$F$32,BCDPS!B20,BTDC!$I$8:$I$32)</f>
        <v>0</v>
      </c>
      <c r="L20" s="941">
        <f t="shared" si="5"/>
        <v>0</v>
      </c>
      <c r="M20" s="941">
        <f t="shared" si="0"/>
        <v>0</v>
      </c>
      <c r="N20" s="942">
        <f>J20-K20</f>
        <v>0</v>
      </c>
      <c r="O20" s="54" t="str">
        <f>IF(OR(J20&lt;&gt;0,K20&lt;&gt;0),"Print","")</f>
        <v/>
      </c>
      <c r="P20" s="54"/>
      <c r="Q20" s="54"/>
      <c r="R20" s="54">
        <f t="shared" si="7"/>
        <v>0</v>
      </c>
      <c r="S20" s="54">
        <f t="shared" si="7"/>
        <v>0</v>
      </c>
    </row>
    <row r="21" spans="1:19">
      <c r="A21" s="35" t="s">
        <v>1273</v>
      </c>
      <c r="B21" s="33" t="str">
        <f t="shared" si="2"/>
        <v>D136</v>
      </c>
      <c r="C21" s="34" t="s">
        <v>1284</v>
      </c>
      <c r="D21" s="941">
        <v>0</v>
      </c>
      <c r="E21" s="941">
        <v>0</v>
      </c>
      <c r="F21" s="941"/>
      <c r="G21" s="941"/>
      <c r="H21" s="941">
        <f t="shared" si="3"/>
        <v>0</v>
      </c>
      <c r="I21" s="941">
        <f t="shared" si="4"/>
        <v>0</v>
      </c>
      <c r="J21" s="941">
        <f>SUMIF(BTDC!$E$8:$E$32,BCDPS!A21,BTDC!$I$8:$I$32)</f>
        <v>0</v>
      </c>
      <c r="K21" s="941">
        <f>SUMIF(BTDC!$F$8:$F$32,BCDPS!B21,BTDC!$I$8:$I$32)</f>
        <v>0</v>
      </c>
      <c r="L21" s="941">
        <f t="shared" si="5"/>
        <v>0</v>
      </c>
      <c r="M21" s="941">
        <f t="shared" si="0"/>
        <v>0</v>
      </c>
      <c r="N21" s="942">
        <f t="shared" si="6"/>
        <v>0</v>
      </c>
      <c r="O21" s="54" t="str">
        <f t="shared" si="1"/>
        <v/>
      </c>
      <c r="P21" s="54"/>
      <c r="Q21" s="54"/>
      <c r="R21" s="54">
        <f t="shared" si="7"/>
        <v>0</v>
      </c>
      <c r="S21" s="54">
        <f t="shared" si="7"/>
        <v>0</v>
      </c>
    </row>
    <row r="22" spans="1:19">
      <c r="A22" s="35" t="s">
        <v>1277</v>
      </c>
      <c r="B22" s="33" t="str">
        <f t="shared" si="2"/>
        <v>N138</v>
      </c>
      <c r="C22" s="34" t="s">
        <v>1287</v>
      </c>
      <c r="D22" s="941">
        <v>2137146064</v>
      </c>
      <c r="E22" s="941">
        <v>354261981</v>
      </c>
      <c r="F22" s="941"/>
      <c r="G22" s="941"/>
      <c r="H22" s="941">
        <v>2137146064</v>
      </c>
      <c r="I22" s="941">
        <v>354261981</v>
      </c>
      <c r="J22" s="941">
        <f>SUMIF(BTDC!$E$8:$E$32,BCDPS!A22,BTDC!$I$8:$I$32)</f>
        <v>0</v>
      </c>
      <c r="K22" s="941">
        <f>SUMIF(BTDC!$F$8:$F$32,BCDPS!B22,BTDC!$I$8:$I$32)</f>
        <v>0</v>
      </c>
      <c r="L22" s="941">
        <f t="shared" si="5"/>
        <v>2137146064</v>
      </c>
      <c r="M22" s="941">
        <f t="shared" si="0"/>
        <v>354261981</v>
      </c>
      <c r="N22" s="942">
        <f t="shared" si="6"/>
        <v>0</v>
      </c>
      <c r="O22" s="54" t="str">
        <f t="shared" si="1"/>
        <v/>
      </c>
      <c r="P22" s="54"/>
      <c r="Q22" s="54"/>
      <c r="R22" s="54">
        <f t="shared" si="7"/>
        <v>-2137146064</v>
      </c>
      <c r="S22" s="54">
        <f t="shared" si="7"/>
        <v>-354261981</v>
      </c>
    </row>
    <row r="23" spans="1:19">
      <c r="A23" s="35" t="s">
        <v>1274</v>
      </c>
      <c r="B23" s="33" t="str">
        <f t="shared" si="2"/>
        <v>D138</v>
      </c>
      <c r="C23" s="34" t="s">
        <v>1286</v>
      </c>
      <c r="D23" s="941">
        <v>0</v>
      </c>
      <c r="E23" s="941">
        <v>0</v>
      </c>
      <c r="F23" s="941"/>
      <c r="G23" s="941"/>
      <c r="H23" s="941">
        <f t="shared" si="3"/>
        <v>0</v>
      </c>
      <c r="I23" s="941">
        <f t="shared" si="4"/>
        <v>0</v>
      </c>
      <c r="J23" s="941">
        <f>SUMIF(BTDC!$E$8:$E$32,BCDPS!A23,BTDC!$I$8:$I$32)</f>
        <v>0</v>
      </c>
      <c r="K23" s="941">
        <f>SUMIF(BTDC!$F$8:$F$32,BCDPS!B23,BTDC!$I$8:$I$32)</f>
        <v>0</v>
      </c>
      <c r="L23" s="941">
        <f t="shared" si="5"/>
        <v>0</v>
      </c>
      <c r="M23" s="941">
        <f t="shared" si="0"/>
        <v>0</v>
      </c>
      <c r="N23" s="942">
        <f t="shared" si="6"/>
        <v>0</v>
      </c>
      <c r="O23" s="54" t="str">
        <f t="shared" si="1"/>
        <v/>
      </c>
      <c r="P23" s="54"/>
      <c r="Q23" s="54"/>
      <c r="R23" s="54">
        <f t="shared" si="7"/>
        <v>0</v>
      </c>
      <c r="S23" s="54">
        <f t="shared" si="7"/>
        <v>0</v>
      </c>
    </row>
    <row r="24" spans="1:19">
      <c r="A24" s="35" t="s">
        <v>1281</v>
      </c>
      <c r="B24" s="33" t="str">
        <f t="shared" si="2"/>
        <v>N135</v>
      </c>
      <c r="C24" s="34" t="s">
        <v>1280</v>
      </c>
      <c r="D24" s="941">
        <v>0</v>
      </c>
      <c r="E24" s="941">
        <v>0</v>
      </c>
      <c r="F24" s="941"/>
      <c r="G24" s="941"/>
      <c r="H24" s="941">
        <f t="shared" si="3"/>
        <v>0</v>
      </c>
      <c r="I24" s="941">
        <f t="shared" si="4"/>
        <v>0</v>
      </c>
      <c r="J24" s="941">
        <f>SUMIF(BTDC!$E$8:$E$32,BCDPS!A24,BTDC!$I$8:$I$32)</f>
        <v>0</v>
      </c>
      <c r="K24" s="941">
        <f>SUMIF(BTDC!$F$8:$F$32,BCDPS!B24,BTDC!$I$8:$I$32)</f>
        <v>0</v>
      </c>
      <c r="L24" s="941">
        <f t="shared" si="5"/>
        <v>0</v>
      </c>
      <c r="M24" s="941">
        <f t="shared" si="0"/>
        <v>0</v>
      </c>
      <c r="N24" s="942">
        <f t="shared" si="6"/>
        <v>0</v>
      </c>
      <c r="O24" s="54" t="str">
        <f t="shared" si="1"/>
        <v/>
      </c>
      <c r="P24" s="54"/>
      <c r="Q24" s="54"/>
      <c r="R24" s="54">
        <f t="shared" si="7"/>
        <v>0</v>
      </c>
      <c r="S24" s="54">
        <f t="shared" si="7"/>
        <v>0</v>
      </c>
    </row>
    <row r="25" spans="1:19">
      <c r="A25" s="35" t="s">
        <v>867</v>
      </c>
      <c r="B25" s="33" t="str">
        <f t="shared" si="2"/>
        <v>N139</v>
      </c>
      <c r="C25" s="34" t="s">
        <v>1289</v>
      </c>
      <c r="D25" s="941">
        <v>0</v>
      </c>
      <c r="E25" s="941">
        <v>0</v>
      </c>
      <c r="F25" s="941"/>
      <c r="G25" s="941"/>
      <c r="H25" s="941">
        <f t="shared" si="3"/>
        <v>0</v>
      </c>
      <c r="I25" s="941">
        <f t="shared" si="4"/>
        <v>0</v>
      </c>
      <c r="J25" s="941">
        <f>SUMIF(BTDC!$E$8:$E$32,BCDPS!A25,BTDC!$I$8:$I$32)</f>
        <v>0</v>
      </c>
      <c r="K25" s="941">
        <f>SUMIF(BTDC!$F$8:$F$32,BCDPS!B25,BTDC!$I$8:$I$32)</f>
        <v>0</v>
      </c>
      <c r="L25" s="941">
        <f t="shared" si="5"/>
        <v>0</v>
      </c>
      <c r="M25" s="941">
        <f t="shared" si="0"/>
        <v>0</v>
      </c>
      <c r="N25" s="942">
        <f t="shared" si="6"/>
        <v>0</v>
      </c>
      <c r="O25" s="54" t="str">
        <f t="shared" si="1"/>
        <v/>
      </c>
      <c r="P25" s="54"/>
      <c r="Q25" s="54"/>
      <c r="R25" s="54">
        <f t="shared" si="7"/>
        <v>0</v>
      </c>
      <c r="S25" s="54">
        <f t="shared" si="7"/>
        <v>0</v>
      </c>
    </row>
    <row r="26" spans="1:19">
      <c r="A26" s="35" t="s">
        <v>1461</v>
      </c>
      <c r="B26" s="33" t="str">
        <f t="shared" si="2"/>
        <v>D139</v>
      </c>
      <c r="C26" s="34" t="s">
        <v>1288</v>
      </c>
      <c r="D26" s="941">
        <v>0</v>
      </c>
      <c r="E26" s="941">
        <v>0</v>
      </c>
      <c r="F26" s="941"/>
      <c r="G26" s="941"/>
      <c r="H26" s="941">
        <f t="shared" si="3"/>
        <v>0</v>
      </c>
      <c r="I26" s="941">
        <f t="shared" si="4"/>
        <v>0</v>
      </c>
      <c r="J26" s="941">
        <f>SUMIF(BTDC!$E$8:$E$32,BCDPS!A26,BTDC!$I$8:$I$32)</f>
        <v>0</v>
      </c>
      <c r="K26" s="941">
        <f>SUMIF(BTDC!$F$8:$F$32,BCDPS!B26,BTDC!$I$8:$I$32)</f>
        <v>0</v>
      </c>
      <c r="L26" s="941">
        <f t="shared" si="5"/>
        <v>0</v>
      </c>
      <c r="M26" s="941">
        <f t="shared" si="0"/>
        <v>0</v>
      </c>
      <c r="N26" s="942">
        <f t="shared" si="6"/>
        <v>0</v>
      </c>
      <c r="O26" s="54" t="str">
        <f t="shared" si="1"/>
        <v/>
      </c>
      <c r="P26" s="54"/>
      <c r="Q26" s="54"/>
      <c r="R26" s="54">
        <f t="shared" si="7"/>
        <v>0</v>
      </c>
      <c r="S26" s="54">
        <f t="shared" si="7"/>
        <v>0</v>
      </c>
    </row>
    <row r="27" spans="1:19">
      <c r="A27" s="35" t="s">
        <v>1458</v>
      </c>
      <c r="B27" s="33" t="s">
        <v>1460</v>
      </c>
      <c r="C27" s="34" t="s">
        <v>776</v>
      </c>
      <c r="D27" s="941">
        <v>202933891</v>
      </c>
      <c r="E27" s="941">
        <v>0</v>
      </c>
      <c r="F27" s="941"/>
      <c r="G27" s="941"/>
      <c r="H27" s="941">
        <f t="shared" si="3"/>
        <v>202933891</v>
      </c>
      <c r="I27" s="941">
        <f t="shared" si="4"/>
        <v>0</v>
      </c>
      <c r="J27" s="941">
        <f>SUMIF(BTDC!$E$8:$E$32,BCDPS!A27,BTDC!$I$8:$I$32)</f>
        <v>0</v>
      </c>
      <c r="K27" s="941">
        <f>SUMIF(BTDC!$F$8:$F$32,BCDPS!B27,BTDC!$I$8:$I$32)</f>
        <v>0</v>
      </c>
      <c r="L27" s="941">
        <f t="shared" si="5"/>
        <v>202933891</v>
      </c>
      <c r="M27" s="941">
        <f t="shared" si="0"/>
        <v>0</v>
      </c>
      <c r="N27" s="942">
        <f t="shared" si="6"/>
        <v>0</v>
      </c>
      <c r="O27" s="54" t="str">
        <f t="shared" si="1"/>
        <v/>
      </c>
      <c r="P27" s="54"/>
      <c r="Q27" s="54"/>
      <c r="R27" s="54">
        <f t="shared" si="7"/>
        <v>-202933891</v>
      </c>
      <c r="S27" s="54">
        <f t="shared" si="7"/>
        <v>0</v>
      </c>
    </row>
    <row r="28" spans="1:19">
      <c r="A28" s="35" t="s">
        <v>1279</v>
      </c>
      <c r="B28" s="33" t="str">
        <f>LEFT(A28,4)</f>
        <v>N142</v>
      </c>
      <c r="C28" s="34" t="s">
        <v>777</v>
      </c>
      <c r="D28" s="941">
        <v>0</v>
      </c>
      <c r="E28" s="941">
        <v>0</v>
      </c>
      <c r="F28" s="941"/>
      <c r="G28" s="941"/>
      <c r="H28" s="941">
        <f t="shared" si="3"/>
        <v>0</v>
      </c>
      <c r="I28" s="941">
        <f t="shared" si="4"/>
        <v>0</v>
      </c>
      <c r="J28" s="941">
        <f>SUMIF(BTDC!$E$8:$E$32,BCDPS!A28,BTDC!$I$8:$I$32)</f>
        <v>0</v>
      </c>
      <c r="K28" s="941">
        <f>SUMIF(BTDC!$F$8:$F$32,BCDPS!B28,BTDC!$I$8:$I$32)</f>
        <v>0</v>
      </c>
      <c r="L28" s="941">
        <f t="shared" si="5"/>
        <v>0</v>
      </c>
      <c r="M28" s="941">
        <f t="shared" si="0"/>
        <v>0</v>
      </c>
      <c r="N28" s="942">
        <f t="shared" si="6"/>
        <v>0</v>
      </c>
      <c r="O28" s="54" t="str">
        <f t="shared" si="1"/>
        <v/>
      </c>
      <c r="P28" s="54"/>
      <c r="Q28" s="54"/>
      <c r="R28" s="54">
        <f t="shared" si="7"/>
        <v>0</v>
      </c>
      <c r="S28" s="54">
        <f t="shared" si="7"/>
        <v>0</v>
      </c>
    </row>
    <row r="29" spans="1:19">
      <c r="A29" s="35" t="s">
        <v>1459</v>
      </c>
      <c r="B29" s="33" t="s">
        <v>1460</v>
      </c>
      <c r="C29" s="34" t="s">
        <v>778</v>
      </c>
      <c r="D29" s="941">
        <v>0</v>
      </c>
      <c r="E29" s="941">
        <v>0</v>
      </c>
      <c r="F29" s="941"/>
      <c r="G29" s="941"/>
      <c r="H29" s="941">
        <f t="shared" si="3"/>
        <v>0</v>
      </c>
      <c r="I29" s="941">
        <f t="shared" si="4"/>
        <v>0</v>
      </c>
      <c r="J29" s="941">
        <f>SUMIF(BTDC!$E$8:$E$32,BCDPS!A29,BTDC!$I$8:$I$32)</f>
        <v>0</v>
      </c>
      <c r="K29" s="941">
        <f>SUMIF(BTDC!$F$8:$F$32,BCDPS!B29,BTDC!$I$8:$I$32)</f>
        <v>0</v>
      </c>
      <c r="L29" s="941">
        <f t="shared" si="5"/>
        <v>0</v>
      </c>
      <c r="M29" s="941">
        <f t="shared" si="0"/>
        <v>0</v>
      </c>
      <c r="N29" s="942">
        <f t="shared" si="6"/>
        <v>0</v>
      </c>
      <c r="O29" s="54" t="str">
        <f t="shared" si="1"/>
        <v/>
      </c>
      <c r="P29" s="54"/>
      <c r="Q29" s="54"/>
      <c r="R29" s="54">
        <f t="shared" si="7"/>
        <v>0</v>
      </c>
      <c r="S29" s="54">
        <f t="shared" si="7"/>
        <v>0</v>
      </c>
    </row>
    <row r="30" spans="1:19">
      <c r="A30" s="35" t="s">
        <v>519</v>
      </c>
      <c r="B30" s="33" t="s">
        <v>1453</v>
      </c>
      <c r="C30" s="34" t="s">
        <v>520</v>
      </c>
      <c r="D30" s="941">
        <v>3372411645</v>
      </c>
      <c r="E30" s="941">
        <v>0</v>
      </c>
      <c r="F30" s="941"/>
      <c r="G30" s="941"/>
      <c r="H30" s="941">
        <f>IF(D30+F30-E30-G30&gt;0,D30+F30-E30-G30,0)</f>
        <v>3372411645</v>
      </c>
      <c r="I30" s="941">
        <f>IF(E30+G30-F30-D30&gt;0,G30+E30-F30-D30,0)</f>
        <v>0</v>
      </c>
      <c r="J30" s="941">
        <f>SUMIF(BTDC!$E$8:$E$32,BCDPS!A30,BTDC!$I$8:$I$32)</f>
        <v>0</v>
      </c>
      <c r="K30" s="941">
        <f>SUMIF(BTDC!$F$8:$F$32,BCDPS!B30,BTDC!$I$8:$I$32)</f>
        <v>0</v>
      </c>
      <c r="L30" s="941">
        <f>H30+J30</f>
        <v>3372411645</v>
      </c>
      <c r="M30" s="941">
        <f>I30+K30</f>
        <v>0</v>
      </c>
      <c r="N30" s="942">
        <f>J30-K30</f>
        <v>0</v>
      </c>
      <c r="O30" s="54" t="str">
        <f>IF(OR(J30&lt;&gt;0,K30&lt;&gt;0),"Print","")</f>
        <v/>
      </c>
      <c r="P30" s="54"/>
      <c r="Q30" s="54"/>
      <c r="R30" s="54">
        <f>P30-D30</f>
        <v>-3372411645</v>
      </c>
      <c r="S30" s="54">
        <f>Q30-E30</f>
        <v>0</v>
      </c>
    </row>
    <row r="31" spans="1:19">
      <c r="A31" s="35" t="s">
        <v>869</v>
      </c>
      <c r="B31" s="33" t="str">
        <f t="shared" si="2"/>
        <v>N015</v>
      </c>
      <c r="C31" s="34" t="s">
        <v>779</v>
      </c>
      <c r="D31" s="941">
        <v>0</v>
      </c>
      <c r="E31" s="941">
        <v>0</v>
      </c>
      <c r="F31" s="941"/>
      <c r="G31" s="941"/>
      <c r="H31" s="941">
        <f t="shared" si="3"/>
        <v>0</v>
      </c>
      <c r="I31" s="941">
        <f t="shared" si="4"/>
        <v>0</v>
      </c>
      <c r="J31" s="941">
        <f>SUMIF(BTDC!$E$8:$E$32,BCDPS!A31,BTDC!$I$8:$I$32)</f>
        <v>0</v>
      </c>
      <c r="K31" s="941">
        <f>SUMIF(BTDC!$F$8:$F$32,BCDPS!B31,BTDC!$I$8:$I$32)</f>
        <v>0</v>
      </c>
      <c r="L31" s="941">
        <f t="shared" si="5"/>
        <v>0</v>
      </c>
      <c r="M31" s="941">
        <f t="shared" si="0"/>
        <v>0</v>
      </c>
      <c r="N31" s="942">
        <f t="shared" si="6"/>
        <v>0</v>
      </c>
      <c r="O31" s="54" t="str">
        <f t="shared" si="1"/>
        <v/>
      </c>
      <c r="P31" s="54"/>
      <c r="Q31" s="54"/>
      <c r="R31" s="54">
        <f>P31-D31</f>
        <v>0</v>
      </c>
      <c r="S31" s="54">
        <f t="shared" si="7"/>
        <v>0</v>
      </c>
    </row>
    <row r="32" spans="1:19">
      <c r="A32" s="35" t="s">
        <v>870</v>
      </c>
      <c r="B32" s="33" t="str">
        <f>LEFT(A32,4)</f>
        <v>N015</v>
      </c>
      <c r="C32" s="34" t="s">
        <v>780</v>
      </c>
      <c r="D32" s="941">
        <v>0</v>
      </c>
      <c r="E32" s="941">
        <v>0</v>
      </c>
      <c r="F32" s="941"/>
      <c r="G32" s="941"/>
      <c r="H32" s="941">
        <f t="shared" si="3"/>
        <v>0</v>
      </c>
      <c r="I32" s="941">
        <f t="shared" si="4"/>
        <v>0</v>
      </c>
      <c r="J32" s="941">
        <f>SUMIF(BTDC!$E$8:$E$32,BCDPS!A32,BTDC!$I$8:$I$32)</f>
        <v>0</v>
      </c>
      <c r="K32" s="941">
        <f>SUMIF(BTDC!$F$8:$F$32,BCDPS!B32,BTDC!$I$8:$I$32)</f>
        <v>0</v>
      </c>
      <c r="L32" s="941">
        <f t="shared" si="5"/>
        <v>0</v>
      </c>
      <c r="M32" s="941">
        <f t="shared" si="0"/>
        <v>0</v>
      </c>
      <c r="N32" s="942">
        <f t="shared" si="6"/>
        <v>0</v>
      </c>
      <c r="O32" s="54" t="str">
        <f t="shared" si="1"/>
        <v/>
      </c>
      <c r="P32" s="54"/>
      <c r="Q32" s="54"/>
      <c r="R32" s="54">
        <f t="shared" si="7"/>
        <v>0</v>
      </c>
      <c r="S32" s="54">
        <f t="shared" si="7"/>
        <v>0</v>
      </c>
    </row>
    <row r="33" spans="1:19">
      <c r="A33" s="35" t="s">
        <v>871</v>
      </c>
      <c r="B33" s="33" t="str">
        <f t="shared" si="2"/>
        <v>N015</v>
      </c>
      <c r="C33" s="34" t="s">
        <v>781</v>
      </c>
      <c r="D33" s="941">
        <v>0</v>
      </c>
      <c r="E33" s="941">
        <v>0</v>
      </c>
      <c r="F33" s="941"/>
      <c r="G33" s="941"/>
      <c r="H33" s="941">
        <f t="shared" si="3"/>
        <v>0</v>
      </c>
      <c r="I33" s="941">
        <f t="shared" si="4"/>
        <v>0</v>
      </c>
      <c r="J33" s="941">
        <f>SUMIF(BTDC!$E$8:$E$32,BCDPS!A33,BTDC!$I$8:$I$32)</f>
        <v>0</v>
      </c>
      <c r="K33" s="941">
        <f>SUMIF(BTDC!$F$8:$F$32,BCDPS!B33,BTDC!$I$8:$I$32)</f>
        <v>0</v>
      </c>
      <c r="L33" s="941">
        <f t="shared" si="5"/>
        <v>0</v>
      </c>
      <c r="M33" s="941">
        <f t="shared" si="0"/>
        <v>0</v>
      </c>
      <c r="N33" s="942">
        <f t="shared" si="6"/>
        <v>0</v>
      </c>
      <c r="O33" s="54" t="str">
        <f t="shared" si="1"/>
        <v/>
      </c>
      <c r="P33" s="54"/>
      <c r="Q33" s="54"/>
      <c r="R33" s="54">
        <f t="shared" si="7"/>
        <v>0</v>
      </c>
      <c r="S33" s="54">
        <f t="shared" si="7"/>
        <v>0</v>
      </c>
    </row>
    <row r="34" spans="1:19">
      <c r="A34" s="35" t="s">
        <v>872</v>
      </c>
      <c r="B34" s="33" t="str">
        <f t="shared" si="2"/>
        <v>N015</v>
      </c>
      <c r="C34" s="34" t="s">
        <v>782</v>
      </c>
      <c r="D34" s="941">
        <v>0</v>
      </c>
      <c r="E34" s="941">
        <v>0</v>
      </c>
      <c r="F34" s="941"/>
      <c r="G34" s="941"/>
      <c r="H34" s="941">
        <f t="shared" si="3"/>
        <v>0</v>
      </c>
      <c r="I34" s="941">
        <f t="shared" si="4"/>
        <v>0</v>
      </c>
      <c r="J34" s="941">
        <f>SUMIF(BTDC!$E$8:$E$32,BCDPS!A34,BTDC!$I$8:$I$32)</f>
        <v>0</v>
      </c>
      <c r="K34" s="941">
        <f>SUMIF(BTDC!$F$8:$F$32,BCDPS!B34,BTDC!$I$8:$I$32)</f>
        <v>0</v>
      </c>
      <c r="L34" s="941">
        <f t="shared" si="5"/>
        <v>0</v>
      </c>
      <c r="M34" s="941">
        <f t="shared" si="0"/>
        <v>0</v>
      </c>
      <c r="N34" s="942">
        <f t="shared" si="6"/>
        <v>0</v>
      </c>
      <c r="O34" s="54" t="str">
        <f t="shared" si="1"/>
        <v/>
      </c>
      <c r="P34" s="54"/>
      <c r="Q34" s="54"/>
      <c r="R34" s="54">
        <f t="shared" si="7"/>
        <v>0</v>
      </c>
      <c r="S34" s="54">
        <f t="shared" si="7"/>
        <v>0</v>
      </c>
    </row>
    <row r="35" spans="1:19">
      <c r="A35" s="35" t="s">
        <v>873</v>
      </c>
      <c r="B35" s="33" t="str">
        <f t="shared" si="2"/>
        <v>N015</v>
      </c>
      <c r="C35" s="34" t="s">
        <v>783</v>
      </c>
      <c r="D35" s="941">
        <v>5941087610</v>
      </c>
      <c r="E35" s="941">
        <v>0</v>
      </c>
      <c r="F35" s="941"/>
      <c r="G35" s="941"/>
      <c r="H35" s="941">
        <f t="shared" si="3"/>
        <v>5941087610</v>
      </c>
      <c r="I35" s="941">
        <f t="shared" si="4"/>
        <v>0</v>
      </c>
      <c r="J35" s="941">
        <f>SUMIF(BTDC!$E$8:$E$32,BCDPS!A35,BTDC!$I$8:$I$32)</f>
        <v>0</v>
      </c>
      <c r="K35" s="941">
        <f>SUMIF(BTDC!$F$8:$F$32,BCDPS!B35,BTDC!$I$8:$I$32)</f>
        <v>0</v>
      </c>
      <c r="L35" s="941">
        <f t="shared" si="5"/>
        <v>5941087610</v>
      </c>
      <c r="M35" s="941">
        <f t="shared" si="0"/>
        <v>0</v>
      </c>
      <c r="N35" s="942">
        <f t="shared" si="6"/>
        <v>0</v>
      </c>
      <c r="O35" s="54" t="str">
        <f t="shared" si="1"/>
        <v/>
      </c>
      <c r="P35" s="54"/>
      <c r="Q35" s="54"/>
      <c r="R35" s="54">
        <f t="shared" si="7"/>
        <v>-5941087610</v>
      </c>
      <c r="S35" s="54">
        <f t="shared" si="7"/>
        <v>0</v>
      </c>
    </row>
    <row r="36" spans="1:19">
      <c r="A36" s="35" t="s">
        <v>1450</v>
      </c>
      <c r="B36" s="33" t="str">
        <f t="shared" si="2"/>
        <v>N015</v>
      </c>
      <c r="C36" s="34" t="s">
        <v>1130</v>
      </c>
      <c r="D36" s="941">
        <v>0</v>
      </c>
      <c r="E36" s="941">
        <v>0</v>
      </c>
      <c r="F36" s="941"/>
      <c r="G36" s="941"/>
      <c r="H36" s="941">
        <f t="shared" si="3"/>
        <v>0</v>
      </c>
      <c r="I36" s="941">
        <f t="shared" si="4"/>
        <v>0</v>
      </c>
      <c r="J36" s="941">
        <f>SUMIF(BTDC!$E$8:$E$32,BCDPS!A36,BTDC!$I$8:$I$32)</f>
        <v>0</v>
      </c>
      <c r="K36" s="941">
        <f>SUMIF(BTDC!$F$8:$F$32,BCDPS!B36,BTDC!$I$8:$I$32)</f>
        <v>0</v>
      </c>
      <c r="L36" s="941">
        <f t="shared" si="5"/>
        <v>0</v>
      </c>
      <c r="M36" s="941">
        <f t="shared" si="0"/>
        <v>0</v>
      </c>
      <c r="N36" s="942">
        <f t="shared" si="6"/>
        <v>0</v>
      </c>
      <c r="O36" s="54" t="str">
        <f t="shared" si="1"/>
        <v/>
      </c>
      <c r="P36" s="54"/>
      <c r="Q36" s="54"/>
      <c r="R36" s="54">
        <f t="shared" si="7"/>
        <v>0</v>
      </c>
      <c r="S36" s="54">
        <f t="shared" si="7"/>
        <v>0</v>
      </c>
    </row>
    <row r="37" spans="1:19">
      <c r="A37" s="35" t="s">
        <v>1451</v>
      </c>
      <c r="B37" s="33" t="str">
        <f t="shared" si="2"/>
        <v>N015</v>
      </c>
      <c r="C37" s="34" t="s">
        <v>784</v>
      </c>
      <c r="D37" s="941">
        <v>0</v>
      </c>
      <c r="E37" s="941">
        <v>0</v>
      </c>
      <c r="F37" s="941"/>
      <c r="G37" s="941"/>
      <c r="H37" s="941">
        <f t="shared" si="3"/>
        <v>0</v>
      </c>
      <c r="I37" s="941">
        <f t="shared" si="4"/>
        <v>0</v>
      </c>
      <c r="J37" s="941">
        <f>SUMIF(BTDC!$E$8:$E$32,BCDPS!A37,BTDC!$I$8:$I$32)</f>
        <v>0</v>
      </c>
      <c r="K37" s="941">
        <f>SUMIF(BTDC!$F$8:$F$32,BCDPS!B37,BTDC!$I$8:$I$32)</f>
        <v>0</v>
      </c>
      <c r="L37" s="941">
        <f t="shared" si="5"/>
        <v>0</v>
      </c>
      <c r="M37" s="941">
        <f t="shared" si="0"/>
        <v>0</v>
      </c>
      <c r="N37" s="942">
        <f t="shared" si="6"/>
        <v>0</v>
      </c>
      <c r="O37" s="54" t="str">
        <f t="shared" si="1"/>
        <v/>
      </c>
      <c r="P37" s="54"/>
      <c r="Q37" s="54"/>
      <c r="R37" s="54">
        <f t="shared" si="7"/>
        <v>0</v>
      </c>
      <c r="S37" s="54">
        <f t="shared" si="7"/>
        <v>0</v>
      </c>
    </row>
    <row r="38" spans="1:19">
      <c r="A38" s="35" t="s">
        <v>1452</v>
      </c>
      <c r="B38" s="33" t="str">
        <f t="shared" si="2"/>
        <v>N015</v>
      </c>
      <c r="C38" s="34" t="s">
        <v>785</v>
      </c>
      <c r="D38" s="941">
        <v>0</v>
      </c>
      <c r="E38" s="941">
        <v>0</v>
      </c>
      <c r="F38" s="941"/>
      <c r="G38" s="941"/>
      <c r="H38" s="941">
        <f t="shared" si="3"/>
        <v>0</v>
      </c>
      <c r="I38" s="941">
        <f t="shared" si="4"/>
        <v>0</v>
      </c>
      <c r="J38" s="941">
        <f>SUMIF(BTDC!$E$8:$E$32,BCDPS!A38,BTDC!$I$8:$I$32)</f>
        <v>0</v>
      </c>
      <c r="K38" s="941">
        <f>SUMIF(BTDC!$F$8:$F$32,BCDPS!B38,BTDC!$I$8:$I$32)</f>
        <v>0</v>
      </c>
      <c r="L38" s="941">
        <f t="shared" si="5"/>
        <v>0</v>
      </c>
      <c r="M38" s="941">
        <f t="shared" si="0"/>
        <v>0</v>
      </c>
      <c r="N38" s="942">
        <f t="shared" si="6"/>
        <v>0</v>
      </c>
      <c r="O38" s="54" t="str">
        <f t="shared" si="1"/>
        <v/>
      </c>
      <c r="P38" s="54"/>
      <c r="Q38" s="54"/>
      <c r="R38" s="54">
        <f t="shared" si="7"/>
        <v>0</v>
      </c>
      <c r="S38" s="54">
        <f t="shared" si="7"/>
        <v>0</v>
      </c>
    </row>
    <row r="39" spans="1:19">
      <c r="A39" s="35" t="s">
        <v>868</v>
      </c>
      <c r="B39" s="33" t="str">
        <f t="shared" si="2"/>
        <v>N159</v>
      </c>
      <c r="C39" s="34" t="s">
        <v>786</v>
      </c>
      <c r="D39" s="941">
        <v>0</v>
      </c>
      <c r="E39" s="941">
        <v>0</v>
      </c>
      <c r="F39" s="941"/>
      <c r="G39" s="941"/>
      <c r="H39" s="941">
        <f t="shared" si="3"/>
        <v>0</v>
      </c>
      <c r="I39" s="941">
        <f t="shared" si="4"/>
        <v>0</v>
      </c>
      <c r="J39" s="941">
        <f>SUMIF(BTDC!$E$8:$E$32,BCDPS!A39,BTDC!$I$8:$I$32)</f>
        <v>0</v>
      </c>
      <c r="K39" s="941">
        <f>SUMIF(BTDC!$F$8:$F$32,BCDPS!B39,BTDC!$I$8:$I$32)</f>
        <v>0</v>
      </c>
      <c r="L39" s="941">
        <f t="shared" si="5"/>
        <v>0</v>
      </c>
      <c r="M39" s="941">
        <f t="shared" si="0"/>
        <v>0</v>
      </c>
      <c r="N39" s="942">
        <f t="shared" si="6"/>
        <v>0</v>
      </c>
      <c r="O39" s="54" t="str">
        <f t="shared" si="1"/>
        <v/>
      </c>
      <c r="P39" s="54"/>
      <c r="Q39" s="54"/>
      <c r="R39" s="54">
        <f t="shared" si="7"/>
        <v>0</v>
      </c>
      <c r="S39" s="54">
        <f t="shared" si="7"/>
        <v>0</v>
      </c>
    </row>
    <row r="40" spans="1:19">
      <c r="A40" s="35" t="s">
        <v>1463</v>
      </c>
      <c r="B40" s="33" t="str">
        <f t="shared" si="2"/>
        <v>D211</v>
      </c>
      <c r="C40" s="34" t="s">
        <v>787</v>
      </c>
      <c r="D40" s="941">
        <v>1452809180</v>
      </c>
      <c r="E40" s="941">
        <v>0</v>
      </c>
      <c r="F40" s="941"/>
      <c r="G40" s="941"/>
      <c r="H40" s="941">
        <f t="shared" si="3"/>
        <v>1452809180</v>
      </c>
      <c r="I40" s="941">
        <f t="shared" si="4"/>
        <v>0</v>
      </c>
      <c r="J40" s="941">
        <f>SUMIF(BTDC!$E$8:$E$32,BCDPS!A40,BTDC!$I$8:$I$32)</f>
        <v>0</v>
      </c>
      <c r="K40" s="941">
        <f>SUMIF(BTDC!$F$8:$F$32,BCDPS!B40,BTDC!$I$8:$I$32)</f>
        <v>0</v>
      </c>
      <c r="L40" s="941">
        <f t="shared" si="5"/>
        <v>1452809180</v>
      </c>
      <c r="M40" s="941">
        <f t="shared" si="0"/>
        <v>0</v>
      </c>
      <c r="N40" s="942">
        <f t="shared" si="6"/>
        <v>0</v>
      </c>
      <c r="O40" s="54" t="str">
        <f t="shared" si="1"/>
        <v/>
      </c>
      <c r="P40" s="54"/>
      <c r="Q40" s="54"/>
      <c r="R40" s="54">
        <f t="shared" si="7"/>
        <v>-1452809180</v>
      </c>
      <c r="S40" s="54">
        <f t="shared" si="7"/>
        <v>0</v>
      </c>
    </row>
    <row r="41" spans="1:19">
      <c r="A41" s="35" t="s">
        <v>1464</v>
      </c>
      <c r="B41" s="33" t="str">
        <f t="shared" si="2"/>
        <v>D212</v>
      </c>
      <c r="C41" s="34" t="s">
        <v>788</v>
      </c>
      <c r="D41" s="941">
        <v>0</v>
      </c>
      <c r="E41" s="941">
        <v>0</v>
      </c>
      <c r="F41" s="941"/>
      <c r="G41" s="941"/>
      <c r="H41" s="941">
        <f t="shared" si="3"/>
        <v>0</v>
      </c>
      <c r="I41" s="941">
        <f t="shared" si="4"/>
        <v>0</v>
      </c>
      <c r="J41" s="941">
        <f>SUMIF(BTDC!$E$8:$E$32,BCDPS!A41,BTDC!$I$8:$I$32)</f>
        <v>0</v>
      </c>
      <c r="K41" s="941">
        <f>SUMIF(BTDC!$F$8:$F$32,BCDPS!B41,BTDC!$I$8:$I$32)</f>
        <v>0</v>
      </c>
      <c r="L41" s="941">
        <f t="shared" si="5"/>
        <v>0</v>
      </c>
      <c r="M41" s="941">
        <f t="shared" si="0"/>
        <v>0</v>
      </c>
      <c r="N41" s="942">
        <f t="shared" si="6"/>
        <v>0</v>
      </c>
      <c r="O41" s="54" t="str">
        <f t="shared" si="1"/>
        <v/>
      </c>
      <c r="P41" s="54"/>
      <c r="Q41" s="54"/>
      <c r="R41" s="54">
        <f t="shared" si="7"/>
        <v>0</v>
      </c>
      <c r="S41" s="54">
        <f t="shared" si="7"/>
        <v>0</v>
      </c>
    </row>
    <row r="42" spans="1:19">
      <c r="A42" s="35" t="s">
        <v>1465</v>
      </c>
      <c r="B42" s="33" t="str">
        <f t="shared" si="2"/>
        <v>D213</v>
      </c>
      <c r="C42" s="34" t="s">
        <v>789</v>
      </c>
      <c r="D42" s="941">
        <v>0</v>
      </c>
      <c r="E42" s="941">
        <v>0</v>
      </c>
      <c r="F42" s="941"/>
      <c r="G42" s="941"/>
      <c r="H42" s="941">
        <f t="shared" si="3"/>
        <v>0</v>
      </c>
      <c r="I42" s="941">
        <f t="shared" si="4"/>
        <v>0</v>
      </c>
      <c r="J42" s="941">
        <f>SUMIF(BTDC!$E$8:$E$32,BCDPS!A42,BTDC!$I$8:$I$32)</f>
        <v>0</v>
      </c>
      <c r="K42" s="941">
        <f>SUMIF(BTDC!$F$8:$F$32,BCDPS!B42,BTDC!$I$8:$I$32)</f>
        <v>0</v>
      </c>
      <c r="L42" s="941">
        <f t="shared" si="5"/>
        <v>0</v>
      </c>
      <c r="M42" s="941">
        <f t="shared" si="0"/>
        <v>0</v>
      </c>
      <c r="N42" s="942">
        <f t="shared" si="6"/>
        <v>0</v>
      </c>
      <c r="O42" s="54" t="str">
        <f t="shared" si="1"/>
        <v/>
      </c>
      <c r="P42" s="54"/>
      <c r="Q42" s="54"/>
      <c r="R42" s="54">
        <f t="shared" si="7"/>
        <v>0</v>
      </c>
      <c r="S42" s="54">
        <f t="shared" si="7"/>
        <v>0</v>
      </c>
    </row>
    <row r="43" spans="1:19">
      <c r="A43" s="35" t="s">
        <v>1467</v>
      </c>
      <c r="B43" s="33" t="str">
        <f t="shared" si="2"/>
        <v>D217</v>
      </c>
      <c r="C43" s="34" t="s">
        <v>1572</v>
      </c>
      <c r="D43" s="941">
        <v>0</v>
      </c>
      <c r="E43" s="941">
        <v>0</v>
      </c>
      <c r="F43" s="941"/>
      <c r="G43" s="941"/>
      <c r="H43" s="941">
        <f t="shared" si="3"/>
        <v>0</v>
      </c>
      <c r="I43" s="941">
        <f t="shared" si="4"/>
        <v>0</v>
      </c>
      <c r="J43" s="941">
        <f>SUMIF(BTDC!$E$8:$E$32,BCDPS!A43,BTDC!$I$8:$I$32)</f>
        <v>0</v>
      </c>
      <c r="K43" s="941">
        <f>SUMIF(BTDC!$F$8:$F$32,BCDPS!B43,BTDC!$I$8:$I$32)</f>
        <v>0</v>
      </c>
      <c r="L43" s="941">
        <f t="shared" si="5"/>
        <v>0</v>
      </c>
      <c r="M43" s="941">
        <f t="shared" si="0"/>
        <v>0</v>
      </c>
      <c r="N43" s="942">
        <f t="shared" si="6"/>
        <v>0</v>
      </c>
      <c r="O43" s="54" t="str">
        <f t="shared" si="1"/>
        <v/>
      </c>
      <c r="P43" s="54"/>
      <c r="Q43" s="54"/>
      <c r="R43" s="54">
        <f t="shared" si="7"/>
        <v>0</v>
      </c>
      <c r="S43" s="54">
        <f t="shared" si="7"/>
        <v>0</v>
      </c>
    </row>
    <row r="44" spans="1:19">
      <c r="A44" s="35" t="s">
        <v>1468</v>
      </c>
      <c r="B44" s="33" t="str">
        <f>LEFT(A44,5)</f>
        <v>D2141</v>
      </c>
      <c r="C44" s="34" t="s">
        <v>1493</v>
      </c>
      <c r="D44" s="941">
        <v>0</v>
      </c>
      <c r="E44" s="941">
        <v>1230181691</v>
      </c>
      <c r="F44" s="941"/>
      <c r="G44" s="941"/>
      <c r="H44" s="941">
        <f t="shared" si="3"/>
        <v>0</v>
      </c>
      <c r="I44" s="941">
        <f t="shared" si="4"/>
        <v>1230181691</v>
      </c>
      <c r="J44" s="941">
        <f>SUMIF(BTDC!$E$8:$E$32,BCDPS!A44,BTDC!$I$8:$I$32)</f>
        <v>0</v>
      </c>
      <c r="K44" s="941">
        <f>SUMIF(BTDC!$F$8:$F$32,BCDPS!B44,BTDC!$I$8:$I$32)</f>
        <v>0</v>
      </c>
      <c r="L44" s="941">
        <f t="shared" si="5"/>
        <v>0</v>
      </c>
      <c r="M44" s="941">
        <f t="shared" si="0"/>
        <v>1230181691</v>
      </c>
      <c r="N44" s="942">
        <f t="shared" si="6"/>
        <v>0</v>
      </c>
      <c r="O44" s="54" t="str">
        <f t="shared" si="1"/>
        <v/>
      </c>
      <c r="P44" s="54"/>
      <c r="Q44" s="54"/>
      <c r="R44" s="54">
        <f t="shared" si="7"/>
        <v>0</v>
      </c>
      <c r="S44" s="54">
        <f t="shared" si="7"/>
        <v>-1230181691</v>
      </c>
    </row>
    <row r="45" spans="1:19">
      <c r="A45" s="35" t="s">
        <v>1469</v>
      </c>
      <c r="B45" s="33" t="str">
        <f>LEFT(A45,5)</f>
        <v>D2142</v>
      </c>
      <c r="C45" s="34" t="s">
        <v>1490</v>
      </c>
      <c r="D45" s="941">
        <v>0</v>
      </c>
      <c r="E45" s="941">
        <v>0</v>
      </c>
      <c r="F45" s="941"/>
      <c r="G45" s="941"/>
      <c r="H45" s="941">
        <f t="shared" si="3"/>
        <v>0</v>
      </c>
      <c r="I45" s="941">
        <f t="shared" si="4"/>
        <v>0</v>
      </c>
      <c r="J45" s="941">
        <f>SUMIF(BTDC!$E$8:$E$32,BCDPS!A45,BTDC!$I$8:$I$32)</f>
        <v>0</v>
      </c>
      <c r="K45" s="941">
        <f>SUMIF(BTDC!$F$8:$F$32,BCDPS!B45,BTDC!$I$8:$I$32)</f>
        <v>0</v>
      </c>
      <c r="L45" s="941">
        <f t="shared" si="5"/>
        <v>0</v>
      </c>
      <c r="M45" s="941">
        <f t="shared" si="0"/>
        <v>0</v>
      </c>
      <c r="N45" s="942">
        <f t="shared" si="6"/>
        <v>0</v>
      </c>
      <c r="O45" s="54" t="str">
        <f t="shared" si="1"/>
        <v/>
      </c>
      <c r="P45" s="54"/>
      <c r="Q45" s="54"/>
      <c r="R45" s="54">
        <f t="shared" si="7"/>
        <v>0</v>
      </c>
      <c r="S45" s="54">
        <f t="shared" si="7"/>
        <v>0</v>
      </c>
    </row>
    <row r="46" spans="1:19">
      <c r="A46" s="35" t="s">
        <v>1494</v>
      </c>
      <c r="B46" s="33" t="str">
        <f>LEFT(A46,5)</f>
        <v>D2143</v>
      </c>
      <c r="C46" s="34" t="s">
        <v>790</v>
      </c>
      <c r="D46" s="941">
        <v>0</v>
      </c>
      <c r="E46" s="941">
        <v>0</v>
      </c>
      <c r="F46" s="941"/>
      <c r="G46" s="941"/>
      <c r="H46" s="941">
        <f t="shared" si="3"/>
        <v>0</v>
      </c>
      <c r="I46" s="941">
        <f t="shared" si="4"/>
        <v>0</v>
      </c>
      <c r="J46" s="941">
        <f>SUMIF(BTDC!$E$8:$E$32,BCDPS!A46,BTDC!$I$8:$I$32)</f>
        <v>0</v>
      </c>
      <c r="K46" s="941">
        <f>SUMIF(BTDC!$F$8:$F$32,BCDPS!B46,BTDC!$I$8:$I$32)</f>
        <v>0</v>
      </c>
      <c r="L46" s="941">
        <f t="shared" si="5"/>
        <v>0</v>
      </c>
      <c r="M46" s="941">
        <f t="shared" si="0"/>
        <v>0</v>
      </c>
      <c r="N46" s="942">
        <f t="shared" si="6"/>
        <v>0</v>
      </c>
      <c r="O46" s="54" t="str">
        <f t="shared" si="1"/>
        <v/>
      </c>
      <c r="P46" s="54"/>
      <c r="Q46" s="54"/>
      <c r="R46" s="54">
        <f t="shared" si="7"/>
        <v>0</v>
      </c>
      <c r="S46" s="54">
        <f t="shared" si="7"/>
        <v>0</v>
      </c>
    </row>
    <row r="47" spans="1:19">
      <c r="A47" s="35" t="s">
        <v>1495</v>
      </c>
      <c r="B47" s="33" t="str">
        <f>LEFT(A47,5)</f>
        <v>D2147</v>
      </c>
      <c r="C47" s="34" t="s">
        <v>1126</v>
      </c>
      <c r="D47" s="941">
        <v>0</v>
      </c>
      <c r="E47" s="941">
        <v>0</v>
      </c>
      <c r="F47" s="941"/>
      <c r="G47" s="941"/>
      <c r="H47" s="941">
        <f t="shared" si="3"/>
        <v>0</v>
      </c>
      <c r="I47" s="941">
        <f t="shared" si="4"/>
        <v>0</v>
      </c>
      <c r="J47" s="941">
        <f>SUMIF(BTDC!$E$8:$E$32,BCDPS!A47,BTDC!$I$8:$I$32)</f>
        <v>0</v>
      </c>
      <c r="K47" s="941">
        <f>SUMIF(BTDC!$F$8:$F$32,BCDPS!B47,BTDC!$I$8:$I$32)</f>
        <v>0</v>
      </c>
      <c r="L47" s="941">
        <f t="shared" si="5"/>
        <v>0</v>
      </c>
      <c r="M47" s="941">
        <f t="shared" si="0"/>
        <v>0</v>
      </c>
      <c r="N47" s="942">
        <f t="shared" si="6"/>
        <v>0</v>
      </c>
      <c r="O47" s="54" t="str">
        <f t="shared" si="1"/>
        <v/>
      </c>
      <c r="P47" s="54"/>
      <c r="Q47" s="54"/>
      <c r="R47" s="54">
        <f t="shared" si="7"/>
        <v>0</v>
      </c>
      <c r="S47" s="54">
        <f t="shared" si="7"/>
        <v>0</v>
      </c>
    </row>
    <row r="48" spans="1:19">
      <c r="A48" s="35" t="s">
        <v>1291</v>
      </c>
      <c r="B48" s="33" t="str">
        <f t="shared" si="2"/>
        <v>D222</v>
      </c>
      <c r="C48" s="34" t="s">
        <v>1128</v>
      </c>
      <c r="D48" s="941">
        <v>0</v>
      </c>
      <c r="E48" s="941">
        <v>0</v>
      </c>
      <c r="F48" s="941"/>
      <c r="G48" s="941"/>
      <c r="H48" s="941">
        <f t="shared" si="3"/>
        <v>0</v>
      </c>
      <c r="I48" s="941">
        <f t="shared" si="4"/>
        <v>0</v>
      </c>
      <c r="J48" s="941">
        <f>SUMIF(BTDC!$E$8:$E$32,BCDPS!A48,BTDC!$I$8:$I$32)</f>
        <v>0</v>
      </c>
      <c r="K48" s="941">
        <f>SUMIF(BTDC!$F$8:$F$32,BCDPS!B48,BTDC!$I$8:$I$32)</f>
        <v>0</v>
      </c>
      <c r="L48" s="941">
        <f t="shared" si="5"/>
        <v>0</v>
      </c>
      <c r="M48" s="941">
        <f t="shared" si="0"/>
        <v>0</v>
      </c>
      <c r="N48" s="942">
        <f t="shared" si="6"/>
        <v>0</v>
      </c>
      <c r="O48" s="54" t="str">
        <f t="shared" si="1"/>
        <v/>
      </c>
      <c r="P48" s="54"/>
      <c r="Q48" s="54"/>
      <c r="R48" s="54">
        <f t="shared" si="7"/>
        <v>0</v>
      </c>
      <c r="S48" s="54">
        <f t="shared" si="7"/>
        <v>0</v>
      </c>
    </row>
    <row r="49" spans="1:19">
      <c r="A49" s="35" t="s">
        <v>1292</v>
      </c>
      <c r="B49" s="33" t="str">
        <f>LEFT(A49,4)</f>
        <v>D223</v>
      </c>
      <c r="C49" s="34" t="s">
        <v>1129</v>
      </c>
      <c r="D49" s="941">
        <v>0</v>
      </c>
      <c r="E49" s="941">
        <v>0</v>
      </c>
      <c r="F49" s="941"/>
      <c r="G49" s="941"/>
      <c r="H49" s="941">
        <f t="shared" si="3"/>
        <v>0</v>
      </c>
      <c r="I49" s="941">
        <f t="shared" si="4"/>
        <v>0</v>
      </c>
      <c r="J49" s="941">
        <f>SUMIF(BTDC!$E$8:$E$32,BCDPS!A49,BTDC!$I$8:$I$32)</f>
        <v>0</v>
      </c>
      <c r="K49" s="941">
        <f>SUMIF(BTDC!$F$8:$F$32,BCDPS!B49,BTDC!$I$8:$I$32)</f>
        <v>0</v>
      </c>
      <c r="L49" s="941">
        <f t="shared" si="5"/>
        <v>0</v>
      </c>
      <c r="M49" s="941">
        <f t="shared" si="0"/>
        <v>0</v>
      </c>
      <c r="N49" s="942">
        <f t="shared" si="6"/>
        <v>0</v>
      </c>
      <c r="O49" s="54" t="str">
        <f t="shared" si="1"/>
        <v/>
      </c>
      <c r="P49" s="54"/>
      <c r="Q49" s="54"/>
      <c r="R49" s="54">
        <f t="shared" si="7"/>
        <v>0</v>
      </c>
      <c r="S49" s="54">
        <f t="shared" si="7"/>
        <v>0</v>
      </c>
    </row>
    <row r="50" spans="1:19">
      <c r="A50" s="35" t="s">
        <v>1470</v>
      </c>
      <c r="B50" s="33" t="str">
        <f t="shared" si="2"/>
        <v>D228</v>
      </c>
      <c r="C50" s="34" t="s">
        <v>1127</v>
      </c>
      <c r="D50" s="941">
        <v>396000000</v>
      </c>
      <c r="E50" s="941">
        <v>0</v>
      </c>
      <c r="F50" s="941"/>
      <c r="G50" s="941"/>
      <c r="H50" s="941">
        <f t="shared" si="3"/>
        <v>396000000</v>
      </c>
      <c r="I50" s="941">
        <f t="shared" si="4"/>
        <v>0</v>
      </c>
      <c r="J50" s="941">
        <f>SUMIF(BTDC!$E$8:$E$32,BCDPS!A50,BTDC!$I$8:$I$32)</f>
        <v>0</v>
      </c>
      <c r="K50" s="941">
        <f>SUMIF(BTDC!$F$8:$F$32,BCDPS!B50,BTDC!$I$8:$I$32)</f>
        <v>0</v>
      </c>
      <c r="L50" s="941">
        <f t="shared" si="5"/>
        <v>396000000</v>
      </c>
      <c r="M50" s="941">
        <f t="shared" si="0"/>
        <v>0</v>
      </c>
      <c r="N50" s="942">
        <f t="shared" si="6"/>
        <v>0</v>
      </c>
      <c r="O50" s="54" t="str">
        <f t="shared" si="1"/>
        <v/>
      </c>
      <c r="P50" s="54"/>
      <c r="Q50" s="54"/>
      <c r="R50" s="54">
        <f t="shared" si="7"/>
        <v>-396000000</v>
      </c>
      <c r="S50" s="54">
        <f t="shared" si="7"/>
        <v>0</v>
      </c>
    </row>
    <row r="51" spans="1:19">
      <c r="A51" s="35" t="s">
        <v>1471</v>
      </c>
      <c r="B51" s="33" t="str">
        <f t="shared" si="2"/>
        <v>D221</v>
      </c>
      <c r="C51" s="34" t="s">
        <v>1293</v>
      </c>
      <c r="D51" s="941">
        <v>0</v>
      </c>
      <c r="E51" s="941">
        <v>0</v>
      </c>
      <c r="F51" s="941"/>
      <c r="G51" s="941"/>
      <c r="H51" s="941">
        <f t="shared" si="3"/>
        <v>0</v>
      </c>
      <c r="I51" s="941">
        <f t="shared" si="4"/>
        <v>0</v>
      </c>
      <c r="J51" s="941">
        <f>SUMIF(BTDC!$E$8:$E$32,BCDPS!A51,BTDC!$I$8:$I$32)</f>
        <v>0</v>
      </c>
      <c r="K51" s="941">
        <f>SUMIF(BTDC!$F$8:$F$32,BCDPS!B51,BTDC!$I$8:$I$32)</f>
        <v>0</v>
      </c>
      <c r="L51" s="941">
        <f t="shared" si="5"/>
        <v>0</v>
      </c>
      <c r="M51" s="941">
        <f t="shared" si="0"/>
        <v>0</v>
      </c>
      <c r="N51" s="942">
        <f t="shared" si="6"/>
        <v>0</v>
      </c>
      <c r="O51" s="54" t="str">
        <f t="shared" si="1"/>
        <v/>
      </c>
      <c r="P51" s="54"/>
      <c r="Q51" s="54"/>
      <c r="R51" s="54">
        <f t="shared" si="7"/>
        <v>0</v>
      </c>
      <c r="S51" s="54">
        <f t="shared" si="7"/>
        <v>0</v>
      </c>
    </row>
    <row r="52" spans="1:19">
      <c r="A52" s="35" t="s">
        <v>1462</v>
      </c>
      <c r="B52" s="33" t="str">
        <f t="shared" si="2"/>
        <v>D022</v>
      </c>
      <c r="C52" s="34" t="s">
        <v>1492</v>
      </c>
      <c r="D52" s="941">
        <v>0</v>
      </c>
      <c r="E52" s="941">
        <v>0</v>
      </c>
      <c r="F52" s="941"/>
      <c r="G52" s="941"/>
      <c r="H52" s="941">
        <f t="shared" si="3"/>
        <v>0</v>
      </c>
      <c r="I52" s="941">
        <f t="shared" si="4"/>
        <v>0</v>
      </c>
      <c r="J52" s="941">
        <f>SUMIF(BTDC!$E$8:$E$32,BCDPS!A52,BTDC!$I$8:$I$32)</f>
        <v>0</v>
      </c>
      <c r="K52" s="941">
        <f>SUMIF(BTDC!$F$8:$F$32,BCDPS!B52,BTDC!$I$8:$I$32)</f>
        <v>0</v>
      </c>
      <c r="L52" s="941">
        <f t="shared" si="5"/>
        <v>0</v>
      </c>
      <c r="M52" s="941">
        <f t="shared" si="0"/>
        <v>0</v>
      </c>
      <c r="N52" s="942">
        <f>J52-K52</f>
        <v>0</v>
      </c>
      <c r="O52" s="54" t="str">
        <f t="shared" si="1"/>
        <v/>
      </c>
      <c r="P52" s="54"/>
      <c r="Q52" s="54"/>
      <c r="R52" s="54">
        <f t="shared" si="7"/>
        <v>0</v>
      </c>
      <c r="S52" s="54">
        <f t="shared" si="7"/>
        <v>0</v>
      </c>
    </row>
    <row r="53" spans="1:19">
      <c r="A53" s="35" t="s">
        <v>1466</v>
      </c>
      <c r="B53" s="33" t="str">
        <f t="shared" si="2"/>
        <v>D241</v>
      </c>
      <c r="C53" s="34" t="s">
        <v>791</v>
      </c>
      <c r="D53" s="941">
        <v>5950458402</v>
      </c>
      <c r="E53" s="941">
        <v>0</v>
      </c>
      <c r="F53" s="941"/>
      <c r="G53" s="941"/>
      <c r="H53" s="941">
        <f t="shared" si="3"/>
        <v>5950458402</v>
      </c>
      <c r="I53" s="941">
        <f t="shared" si="4"/>
        <v>0</v>
      </c>
      <c r="J53" s="941">
        <f>SUMIF(BTDC!$E$8:$E$32,BCDPS!A53,BTDC!$I$8:$I$32)</f>
        <v>0</v>
      </c>
      <c r="K53" s="941">
        <f>SUMIF(BTDC!$F$8:$F$32,BCDPS!B53,BTDC!$I$8:$I$32)</f>
        <v>0</v>
      </c>
      <c r="L53" s="941">
        <f t="shared" si="5"/>
        <v>5950458402</v>
      </c>
      <c r="M53" s="941">
        <f t="shared" si="0"/>
        <v>0</v>
      </c>
      <c r="N53" s="942">
        <f t="shared" si="6"/>
        <v>0</v>
      </c>
      <c r="O53" s="54" t="str">
        <f t="shared" si="1"/>
        <v/>
      </c>
      <c r="P53" s="54"/>
      <c r="Q53" s="54"/>
      <c r="R53" s="54">
        <f t="shared" si="7"/>
        <v>-5950458402</v>
      </c>
      <c r="S53" s="54">
        <f t="shared" si="7"/>
        <v>0</v>
      </c>
    </row>
    <row r="54" spans="1:19">
      <c r="A54" s="35" t="s">
        <v>1475</v>
      </c>
      <c r="B54" s="33" t="str">
        <f t="shared" si="2"/>
        <v>D024</v>
      </c>
      <c r="C54" s="34" t="s">
        <v>1491</v>
      </c>
      <c r="D54" s="941">
        <v>0</v>
      </c>
      <c r="E54" s="941">
        <v>0</v>
      </c>
      <c r="F54" s="941"/>
      <c r="G54" s="941"/>
      <c r="H54" s="941">
        <f t="shared" si="3"/>
        <v>0</v>
      </c>
      <c r="I54" s="941">
        <f t="shared" si="4"/>
        <v>0</v>
      </c>
      <c r="J54" s="941">
        <f>SUMIF(BTDC!$E$8:$E$32,BCDPS!A54,BTDC!$I$8:$I$32)</f>
        <v>0</v>
      </c>
      <c r="K54" s="941">
        <f>SUMIF(BTDC!$F$8:$F$32,BCDPS!B54,BTDC!$I$8:$I$32)</f>
        <v>0</v>
      </c>
      <c r="L54" s="941">
        <f t="shared" si="5"/>
        <v>0</v>
      </c>
      <c r="M54" s="941">
        <f t="shared" si="0"/>
        <v>0</v>
      </c>
      <c r="N54" s="942">
        <f>J54-K54</f>
        <v>0</v>
      </c>
      <c r="O54" s="54" t="str">
        <f t="shared" si="1"/>
        <v/>
      </c>
      <c r="P54" s="54"/>
      <c r="Q54" s="54"/>
      <c r="R54" s="54">
        <f t="shared" si="7"/>
        <v>0</v>
      </c>
      <c r="S54" s="54">
        <f t="shared" si="7"/>
        <v>0</v>
      </c>
    </row>
    <row r="55" spans="1:19">
      <c r="A55" s="35" t="s">
        <v>1472</v>
      </c>
      <c r="B55" s="33" t="str">
        <f t="shared" si="2"/>
        <v>D229</v>
      </c>
      <c r="C55" s="34" t="s">
        <v>1294</v>
      </c>
      <c r="D55" s="941">
        <v>0</v>
      </c>
      <c r="E55" s="941">
        <v>0</v>
      </c>
      <c r="F55" s="941"/>
      <c r="G55" s="941"/>
      <c r="H55" s="941">
        <f t="shared" si="3"/>
        <v>0</v>
      </c>
      <c r="I55" s="941">
        <f t="shared" si="4"/>
        <v>0</v>
      </c>
      <c r="J55" s="941">
        <f>SUMIF(BTDC!$E$8:$E$32,BCDPS!A55,BTDC!$I$8:$I$32)</f>
        <v>0</v>
      </c>
      <c r="K55" s="941">
        <f>SUMIF(BTDC!$F$8:$F$32,BCDPS!B55,BTDC!$I$8:$I$32)</f>
        <v>0</v>
      </c>
      <c r="L55" s="941">
        <f t="shared" si="5"/>
        <v>0</v>
      </c>
      <c r="M55" s="941">
        <f t="shared" si="0"/>
        <v>0</v>
      </c>
      <c r="N55" s="942">
        <f t="shared" si="6"/>
        <v>0</v>
      </c>
      <c r="O55" s="54" t="str">
        <f t="shared" si="1"/>
        <v/>
      </c>
      <c r="P55" s="54"/>
      <c r="Q55" s="54"/>
      <c r="R55" s="54">
        <f t="shared" si="7"/>
        <v>0</v>
      </c>
      <c r="S55" s="54">
        <f t="shared" si="7"/>
        <v>0</v>
      </c>
    </row>
    <row r="56" spans="1:19">
      <c r="A56" s="35" t="s">
        <v>1473</v>
      </c>
      <c r="B56" s="33" t="str">
        <f t="shared" si="2"/>
        <v>D242</v>
      </c>
      <c r="C56" s="34" t="s">
        <v>792</v>
      </c>
      <c r="D56" s="941">
        <v>0</v>
      </c>
      <c r="E56" s="941">
        <v>0</v>
      </c>
      <c r="F56" s="941"/>
      <c r="G56" s="941"/>
      <c r="H56" s="941">
        <f t="shared" si="3"/>
        <v>0</v>
      </c>
      <c r="I56" s="941">
        <f t="shared" si="4"/>
        <v>0</v>
      </c>
      <c r="J56" s="941">
        <f>SUMIF(BTDC!$E$8:$E$32,BCDPS!A56,BTDC!$I$8:$I$32)</f>
        <v>0</v>
      </c>
      <c r="K56" s="941">
        <f>SUMIF(BTDC!$F$8:$F$32,BCDPS!B56,BTDC!$I$8:$I$32)</f>
        <v>0</v>
      </c>
      <c r="L56" s="941">
        <f t="shared" si="5"/>
        <v>0</v>
      </c>
      <c r="M56" s="941">
        <f t="shared" si="0"/>
        <v>0</v>
      </c>
      <c r="N56" s="942">
        <f t="shared" si="6"/>
        <v>0</v>
      </c>
      <c r="O56" s="54" t="str">
        <f t="shared" si="1"/>
        <v/>
      </c>
      <c r="P56" s="54"/>
      <c r="Q56" s="54"/>
      <c r="R56" s="54">
        <f t="shared" si="7"/>
        <v>0</v>
      </c>
      <c r="S56" s="54">
        <f t="shared" si="7"/>
        <v>0</v>
      </c>
    </row>
    <row r="57" spans="1:19">
      <c r="A57" s="35" t="s">
        <v>1474</v>
      </c>
      <c r="B57" s="33" t="str">
        <f t="shared" si="2"/>
        <v>D262</v>
      </c>
      <c r="C57" s="34" t="s">
        <v>1295</v>
      </c>
      <c r="D57" s="941">
        <v>0</v>
      </c>
      <c r="E57" s="941">
        <v>0</v>
      </c>
      <c r="F57" s="941"/>
      <c r="G57" s="941"/>
      <c r="H57" s="941">
        <f t="shared" si="3"/>
        <v>0</v>
      </c>
      <c r="I57" s="941">
        <f t="shared" si="4"/>
        <v>0</v>
      </c>
      <c r="J57" s="941">
        <f>SUMIF(BTDC!$E$8:$E$32,BCDPS!A57,BTDC!$I$8:$I$32)</f>
        <v>0</v>
      </c>
      <c r="K57" s="941">
        <f>SUMIF(BTDC!$F$8:$F$32,BCDPS!B57,BTDC!$I$8:$I$32)</f>
        <v>0</v>
      </c>
      <c r="L57" s="941">
        <f t="shared" si="5"/>
        <v>0</v>
      </c>
      <c r="M57" s="941">
        <f t="shared" si="0"/>
        <v>0</v>
      </c>
      <c r="N57" s="942">
        <f t="shared" si="6"/>
        <v>0</v>
      </c>
      <c r="O57" s="54" t="str">
        <f t="shared" si="1"/>
        <v/>
      </c>
      <c r="P57" s="54"/>
      <c r="Q57" s="54"/>
      <c r="R57" s="54">
        <f t="shared" si="7"/>
        <v>0</v>
      </c>
      <c r="S57" s="54">
        <f t="shared" si="7"/>
        <v>0</v>
      </c>
    </row>
    <row r="58" spans="1:19">
      <c r="A58" s="35" t="s">
        <v>1256</v>
      </c>
      <c r="B58" s="33" t="str">
        <f t="shared" si="2"/>
        <v>N311</v>
      </c>
      <c r="C58" s="34" t="s">
        <v>793</v>
      </c>
      <c r="D58" s="941">
        <v>0</v>
      </c>
      <c r="E58" s="941">
        <v>0</v>
      </c>
      <c r="F58" s="941"/>
      <c r="G58" s="941"/>
      <c r="H58" s="941">
        <f t="shared" si="3"/>
        <v>0</v>
      </c>
      <c r="I58" s="941">
        <f t="shared" si="4"/>
        <v>0</v>
      </c>
      <c r="J58" s="941">
        <f>SUMIF(BTDC!$E$8:$E$32,BCDPS!A58,BTDC!$I$8:$I$32)</f>
        <v>0</v>
      </c>
      <c r="K58" s="941">
        <f>SUMIF(BTDC!$F$8:$F$32,BCDPS!B58,BTDC!$I$8:$I$32)</f>
        <v>0</v>
      </c>
      <c r="L58" s="941">
        <f t="shared" si="5"/>
        <v>0</v>
      </c>
      <c r="M58" s="941">
        <f t="shared" si="0"/>
        <v>0</v>
      </c>
      <c r="N58" s="942">
        <f>K58-J58</f>
        <v>0</v>
      </c>
      <c r="O58" s="54" t="str">
        <f t="shared" si="1"/>
        <v/>
      </c>
      <c r="P58" s="54"/>
      <c r="Q58" s="54"/>
      <c r="R58" s="54">
        <f t="shared" si="7"/>
        <v>0</v>
      </c>
      <c r="S58" s="54">
        <f t="shared" si="7"/>
        <v>0</v>
      </c>
    </row>
    <row r="59" spans="1:19">
      <c r="A59" s="35" t="s">
        <v>1257</v>
      </c>
      <c r="B59" s="33" t="str">
        <f t="shared" si="2"/>
        <v>N331</v>
      </c>
      <c r="C59" s="37" t="s">
        <v>1557</v>
      </c>
      <c r="D59" s="941">
        <v>312082883</v>
      </c>
      <c r="E59" s="941">
        <v>231000000</v>
      </c>
      <c r="F59" s="941"/>
      <c r="G59" s="941"/>
      <c r="H59" s="941">
        <v>312082883</v>
      </c>
      <c r="I59" s="941">
        <v>231000000</v>
      </c>
      <c r="J59" s="941">
        <f>SUMIF(BTDC!$E$8:$E$32,BCDPS!A59,BTDC!$I$8:$I$32)</f>
        <v>0</v>
      </c>
      <c r="K59" s="941">
        <f>SUMIF(BTDC!$F$8:$F$32,BCDPS!B59,BTDC!$I$8:$I$32)</f>
        <v>0</v>
      </c>
      <c r="L59" s="941">
        <f t="shared" si="5"/>
        <v>312082883</v>
      </c>
      <c r="M59" s="941">
        <f t="shared" si="0"/>
        <v>231000000</v>
      </c>
      <c r="N59" s="944">
        <f t="shared" ref="N59:N88" si="8">K59-J59</f>
        <v>0</v>
      </c>
      <c r="O59" s="945" t="str">
        <f t="shared" si="1"/>
        <v/>
      </c>
      <c r="P59" s="945"/>
      <c r="Q59" s="945"/>
      <c r="R59" s="945">
        <f t="shared" si="7"/>
        <v>-312082883</v>
      </c>
      <c r="S59" s="945">
        <f t="shared" si="7"/>
        <v>-231000000</v>
      </c>
    </row>
    <row r="60" spans="1:19">
      <c r="A60" s="35" t="s">
        <v>1296</v>
      </c>
      <c r="B60" s="33" t="str">
        <f t="shared" si="2"/>
        <v>A131</v>
      </c>
      <c r="C60" s="34" t="s">
        <v>1558</v>
      </c>
      <c r="D60" s="941">
        <v>0</v>
      </c>
      <c r="E60" s="941">
        <v>0</v>
      </c>
      <c r="F60" s="941"/>
      <c r="G60" s="941"/>
      <c r="H60" s="941">
        <f t="shared" si="3"/>
        <v>0</v>
      </c>
      <c r="I60" s="941">
        <f t="shared" si="4"/>
        <v>0</v>
      </c>
      <c r="J60" s="941">
        <f>SUMIF(BTDC!$E$8:$E$32,BCDPS!A60,BTDC!$I$8:$I$32)</f>
        <v>0</v>
      </c>
      <c r="K60" s="941">
        <f>SUMIF(BTDC!$F$8:$F$32,BCDPS!B60,BTDC!$I$8:$I$32)</f>
        <v>0</v>
      </c>
      <c r="L60" s="941">
        <f t="shared" si="5"/>
        <v>0</v>
      </c>
      <c r="M60" s="941">
        <f t="shared" si="0"/>
        <v>0</v>
      </c>
      <c r="N60" s="942">
        <f t="shared" si="8"/>
        <v>0</v>
      </c>
      <c r="O60" s="54" t="str">
        <f t="shared" si="1"/>
        <v/>
      </c>
      <c r="P60" s="54"/>
      <c r="Q60" s="54"/>
      <c r="R60" s="54">
        <f t="shared" si="7"/>
        <v>0</v>
      </c>
      <c r="S60" s="54">
        <f t="shared" si="7"/>
        <v>0</v>
      </c>
    </row>
    <row r="61" spans="1:19">
      <c r="A61" s="35" t="s">
        <v>1258</v>
      </c>
      <c r="B61" s="33" t="str">
        <f t="shared" si="2"/>
        <v>N333</v>
      </c>
      <c r="C61" s="34" t="s">
        <v>1559</v>
      </c>
      <c r="D61" s="941">
        <v>0</v>
      </c>
      <c r="E61" s="941">
        <v>1049442390</v>
      </c>
      <c r="F61" s="941"/>
      <c r="G61" s="941"/>
      <c r="H61" s="941">
        <f t="shared" si="3"/>
        <v>0</v>
      </c>
      <c r="I61" s="941">
        <f t="shared" si="4"/>
        <v>1049442390</v>
      </c>
      <c r="J61" s="941">
        <f>SUMIF(BTDC!$E$8:$E$32,BCDPS!A61,BTDC!$I$8:$I$32)</f>
        <v>0</v>
      </c>
      <c r="K61" s="941">
        <f>SUMIF(BTDC!$F$8:$F$32,BCDPS!B61,BTDC!$I$8:$I$32)</f>
        <v>0</v>
      </c>
      <c r="L61" s="941">
        <f t="shared" si="5"/>
        <v>0</v>
      </c>
      <c r="M61" s="941">
        <f t="shared" si="0"/>
        <v>1049442390</v>
      </c>
      <c r="N61" s="942">
        <f t="shared" si="8"/>
        <v>0</v>
      </c>
      <c r="O61" s="54" t="str">
        <f t="shared" si="1"/>
        <v/>
      </c>
      <c r="P61" s="54"/>
      <c r="Q61" s="54"/>
      <c r="R61" s="54">
        <f t="shared" si="7"/>
        <v>0</v>
      </c>
      <c r="S61" s="54">
        <f t="shared" si="7"/>
        <v>-1049442390</v>
      </c>
    </row>
    <row r="62" spans="1:19">
      <c r="A62" s="35" t="s">
        <v>1259</v>
      </c>
      <c r="B62" s="33" t="str">
        <f t="shared" si="2"/>
        <v>N334</v>
      </c>
      <c r="C62" s="34" t="s">
        <v>1560</v>
      </c>
      <c r="D62" s="941">
        <v>0</v>
      </c>
      <c r="E62" s="941">
        <v>0</v>
      </c>
      <c r="F62" s="941"/>
      <c r="G62" s="941"/>
      <c r="H62" s="941">
        <f t="shared" si="3"/>
        <v>0</v>
      </c>
      <c r="I62" s="941">
        <f t="shared" si="4"/>
        <v>0</v>
      </c>
      <c r="J62" s="941">
        <f>SUMIF(BTDC!$E$8:$E$32,BCDPS!A62,BTDC!$I$8:$I$32)</f>
        <v>0</v>
      </c>
      <c r="K62" s="941">
        <f>SUMIF(BTDC!$F$8:$F$32,BCDPS!B62,BTDC!$I$8:$I$32)</f>
        <v>0</v>
      </c>
      <c r="L62" s="941">
        <f t="shared" si="5"/>
        <v>0</v>
      </c>
      <c r="M62" s="941">
        <f t="shared" si="0"/>
        <v>0</v>
      </c>
      <c r="N62" s="942">
        <f t="shared" si="8"/>
        <v>0</v>
      </c>
      <c r="O62" s="54" t="str">
        <f t="shared" si="1"/>
        <v/>
      </c>
      <c r="P62" s="54"/>
      <c r="Q62" s="54"/>
      <c r="R62" s="54">
        <f t="shared" si="7"/>
        <v>0</v>
      </c>
      <c r="S62" s="54">
        <f t="shared" si="7"/>
        <v>0</v>
      </c>
    </row>
    <row r="63" spans="1:19">
      <c r="A63" s="35" t="s">
        <v>1260</v>
      </c>
      <c r="B63" s="33" t="str">
        <f t="shared" si="2"/>
        <v>N335</v>
      </c>
      <c r="C63" s="34" t="s">
        <v>1561</v>
      </c>
      <c r="D63" s="941">
        <v>0</v>
      </c>
      <c r="E63" s="941">
        <v>30000000</v>
      </c>
      <c r="F63" s="941"/>
      <c r="G63" s="941"/>
      <c r="H63" s="941">
        <f t="shared" si="3"/>
        <v>0</v>
      </c>
      <c r="I63" s="941">
        <f t="shared" si="4"/>
        <v>30000000</v>
      </c>
      <c r="J63" s="941">
        <f>SUMIF(BTDC!$E$8:$E$32,BCDPS!A63,BTDC!$I$8:$I$32)</f>
        <v>0</v>
      </c>
      <c r="K63" s="941">
        <f>SUMIF(BTDC!$F$8:$F$32,BCDPS!B63,BTDC!$I$8:$I$32)</f>
        <v>0</v>
      </c>
      <c r="L63" s="941">
        <f t="shared" si="5"/>
        <v>0</v>
      </c>
      <c r="M63" s="941">
        <f t="shared" si="0"/>
        <v>30000000</v>
      </c>
      <c r="N63" s="942">
        <f t="shared" si="8"/>
        <v>0</v>
      </c>
      <c r="O63" s="54" t="str">
        <f t="shared" si="1"/>
        <v/>
      </c>
      <c r="P63" s="54"/>
      <c r="Q63" s="54"/>
      <c r="R63" s="54">
        <f t="shared" si="7"/>
        <v>0</v>
      </c>
      <c r="S63" s="54">
        <f t="shared" si="7"/>
        <v>-30000000</v>
      </c>
    </row>
    <row r="64" spans="1:19">
      <c r="A64" s="35" t="s">
        <v>1255</v>
      </c>
      <c r="B64" s="33" t="str">
        <f t="shared" si="2"/>
        <v>N336</v>
      </c>
      <c r="C64" s="34" t="s">
        <v>1562</v>
      </c>
      <c r="D64" s="941">
        <v>0</v>
      </c>
      <c r="E64" s="941">
        <v>1034617760</v>
      </c>
      <c r="F64" s="941"/>
      <c r="G64" s="941"/>
      <c r="H64" s="941">
        <f t="shared" si="3"/>
        <v>0</v>
      </c>
      <c r="I64" s="941">
        <f t="shared" si="4"/>
        <v>1034617760</v>
      </c>
      <c r="J64" s="941">
        <f>SUMIF(BTDC!$E$8:$E$32,BCDPS!A64,BTDC!$I$8:$I$32)</f>
        <v>0</v>
      </c>
      <c r="K64" s="941">
        <f>SUMIF(BTDC!$F$8:$F$32,BCDPS!B64,BTDC!$I$8:$I$32)</f>
        <v>0</v>
      </c>
      <c r="L64" s="941">
        <f t="shared" si="5"/>
        <v>0</v>
      </c>
      <c r="M64" s="941">
        <f t="shared" si="0"/>
        <v>1034617760</v>
      </c>
      <c r="N64" s="942">
        <f t="shared" si="8"/>
        <v>0</v>
      </c>
      <c r="O64" s="54" t="str">
        <f t="shared" si="1"/>
        <v/>
      </c>
      <c r="P64" s="54"/>
      <c r="Q64" s="54"/>
      <c r="R64" s="54">
        <f t="shared" si="7"/>
        <v>0</v>
      </c>
      <c r="S64" s="54">
        <f t="shared" si="7"/>
        <v>-1034617760</v>
      </c>
    </row>
    <row r="65" spans="1:19">
      <c r="A65" s="35" t="s">
        <v>1262</v>
      </c>
      <c r="B65" s="33" t="str">
        <f t="shared" si="2"/>
        <v>N338</v>
      </c>
      <c r="C65" s="34" t="s">
        <v>1563</v>
      </c>
      <c r="D65" s="941">
        <v>17913743</v>
      </c>
      <c r="E65" s="941">
        <v>9724897711</v>
      </c>
      <c r="F65" s="941"/>
      <c r="G65" s="941"/>
      <c r="H65" s="941">
        <v>17913743</v>
      </c>
      <c r="I65" s="941">
        <v>9724897711</v>
      </c>
      <c r="J65" s="941">
        <f>SUMIF(BTDC!$E$8:$E$32,BCDPS!A65,BTDC!$I$8:$I$32)</f>
        <v>0</v>
      </c>
      <c r="K65" s="941">
        <f>SUMIF(BTDC!$F$8:$F$32,BCDPS!B65,BTDC!$I$8:$I$32)</f>
        <v>0</v>
      </c>
      <c r="L65" s="941">
        <f t="shared" si="5"/>
        <v>17913743</v>
      </c>
      <c r="M65" s="941">
        <f t="shared" si="0"/>
        <v>9724897711</v>
      </c>
      <c r="N65" s="942">
        <f>K65-J65</f>
        <v>0</v>
      </c>
      <c r="O65" s="54" t="str">
        <f t="shared" si="1"/>
        <v/>
      </c>
      <c r="P65" s="54"/>
      <c r="Q65" s="54"/>
      <c r="R65" s="54">
        <f t="shared" si="7"/>
        <v>-17913743</v>
      </c>
      <c r="S65" s="54">
        <f t="shared" si="7"/>
        <v>-9724897711</v>
      </c>
    </row>
    <row r="66" spans="1:19">
      <c r="A66" s="35" t="s">
        <v>1509</v>
      </c>
      <c r="B66" s="33" t="str">
        <f t="shared" si="2"/>
        <v>N339</v>
      </c>
      <c r="C66" s="34" t="s">
        <v>1510</v>
      </c>
      <c r="D66" s="941">
        <v>0</v>
      </c>
      <c r="E66" s="941">
        <v>0</v>
      </c>
      <c r="F66" s="941"/>
      <c r="G66" s="941"/>
      <c r="H66" s="941">
        <f t="shared" si="3"/>
        <v>0</v>
      </c>
      <c r="I66" s="941">
        <f t="shared" si="4"/>
        <v>0</v>
      </c>
      <c r="J66" s="941">
        <f>SUMIF(BTDC!$E$8:$E$32,BCDPS!A66,BTDC!$I$8:$I$32)</f>
        <v>0</v>
      </c>
      <c r="K66" s="941">
        <f>SUMIF(BTDC!$F$8:$F$32,BCDPS!B66,BTDC!$I$8:$I$32)</f>
        <v>0</v>
      </c>
      <c r="L66" s="941">
        <f t="shared" si="5"/>
        <v>0</v>
      </c>
      <c r="M66" s="941">
        <f t="shared" si="0"/>
        <v>0</v>
      </c>
      <c r="N66" s="942">
        <f t="shared" si="8"/>
        <v>0</v>
      </c>
      <c r="O66" s="54" t="str">
        <f t="shared" si="1"/>
        <v/>
      </c>
      <c r="P66" s="54"/>
      <c r="Q66" s="54"/>
      <c r="R66" s="54">
        <f t="shared" si="7"/>
        <v>0</v>
      </c>
      <c r="S66" s="54">
        <f t="shared" si="7"/>
        <v>0</v>
      </c>
    </row>
    <row r="67" spans="1:19">
      <c r="A67" s="35" t="s">
        <v>1261</v>
      </c>
      <c r="B67" s="33" t="str">
        <f t="shared" si="2"/>
        <v>N318</v>
      </c>
      <c r="C67" s="34" t="s">
        <v>1252</v>
      </c>
      <c r="D67" s="941">
        <v>0</v>
      </c>
      <c r="E67" s="941">
        <v>0</v>
      </c>
      <c r="F67" s="941"/>
      <c r="G67" s="941"/>
      <c r="H67" s="941">
        <f t="shared" si="3"/>
        <v>0</v>
      </c>
      <c r="I67" s="941">
        <f t="shared" si="4"/>
        <v>0</v>
      </c>
      <c r="J67" s="941">
        <f>SUMIF(BTDC!$E$8:$E$32,BCDPS!A67,BTDC!$I$8:$I$32)</f>
        <v>0</v>
      </c>
      <c r="K67" s="941">
        <f>SUMIF(BTDC!$F$8:$F$32,BCDPS!B67,BTDC!$I$8:$I$32)</f>
        <v>0</v>
      </c>
      <c r="L67" s="941">
        <f t="shared" si="5"/>
        <v>0</v>
      </c>
      <c r="M67" s="941">
        <f t="shared" si="0"/>
        <v>0</v>
      </c>
      <c r="N67" s="942">
        <f t="shared" si="8"/>
        <v>0</v>
      </c>
      <c r="O67" s="54" t="str">
        <f t="shared" si="1"/>
        <v/>
      </c>
      <c r="P67" s="54"/>
      <c r="Q67" s="54"/>
      <c r="R67" s="54">
        <f t="shared" si="7"/>
        <v>0</v>
      </c>
      <c r="S67" s="54">
        <f t="shared" si="7"/>
        <v>0</v>
      </c>
    </row>
    <row r="68" spans="1:19">
      <c r="A68" s="35" t="s">
        <v>1264</v>
      </c>
      <c r="B68" s="33" t="str">
        <f t="shared" si="2"/>
        <v>D331</v>
      </c>
      <c r="C68" s="34" t="s">
        <v>1266</v>
      </c>
      <c r="D68" s="941">
        <v>0</v>
      </c>
      <c r="E68" s="941">
        <v>0</v>
      </c>
      <c r="F68" s="941"/>
      <c r="G68" s="941"/>
      <c r="H68" s="941">
        <f t="shared" si="3"/>
        <v>0</v>
      </c>
      <c r="I68" s="941">
        <f t="shared" si="4"/>
        <v>0</v>
      </c>
      <c r="J68" s="941">
        <f>SUMIF(BTDC!$E$8:$E$32,BCDPS!A68,BTDC!$I$8:$I$32)</f>
        <v>0</v>
      </c>
      <c r="K68" s="941">
        <f>SUMIF(BTDC!$F$8:$F$32,BCDPS!B68,BTDC!$I$8:$I$32)</f>
        <v>0</v>
      </c>
      <c r="L68" s="941">
        <f t="shared" si="5"/>
        <v>0</v>
      </c>
      <c r="M68" s="941">
        <f t="shared" si="0"/>
        <v>0</v>
      </c>
      <c r="N68" s="942">
        <f t="shared" si="8"/>
        <v>0</v>
      </c>
      <c r="O68" s="54" t="str">
        <f t="shared" si="1"/>
        <v/>
      </c>
      <c r="P68" s="54"/>
      <c r="Q68" s="54"/>
      <c r="R68" s="54">
        <f t="shared" si="7"/>
        <v>0</v>
      </c>
      <c r="S68" s="54">
        <f t="shared" si="7"/>
        <v>0</v>
      </c>
    </row>
    <row r="69" spans="1:19">
      <c r="A69" s="35" t="s">
        <v>1531</v>
      </c>
      <c r="B69" s="33" t="s">
        <v>1531</v>
      </c>
      <c r="C69" s="34" t="s">
        <v>1515</v>
      </c>
      <c r="D69" s="941">
        <v>0</v>
      </c>
      <c r="E69" s="941">
        <v>29719701</v>
      </c>
      <c r="F69" s="941"/>
      <c r="G69" s="941"/>
      <c r="H69" s="941">
        <f t="shared" si="3"/>
        <v>0</v>
      </c>
      <c r="I69" s="941">
        <f t="shared" si="4"/>
        <v>29719701</v>
      </c>
      <c r="J69" s="941">
        <f>SUMIF(BTDC!$E$8:$E$32,BCDPS!A69,BTDC!$I$8:$I$32)</f>
        <v>0</v>
      </c>
      <c r="K69" s="941">
        <f>SUMIF(BTDC!$F$8:$F$32,BCDPS!B69,BTDC!$I$8:$I$32)</f>
        <v>0</v>
      </c>
      <c r="L69" s="941">
        <f t="shared" si="5"/>
        <v>0</v>
      </c>
      <c r="M69" s="941">
        <f t="shared" si="0"/>
        <v>29719701</v>
      </c>
      <c r="N69" s="942">
        <f>K69-J69</f>
        <v>0</v>
      </c>
      <c r="O69" s="54" t="str">
        <f t="shared" si="1"/>
        <v/>
      </c>
      <c r="P69" s="54"/>
      <c r="Q69" s="54"/>
      <c r="R69" s="54">
        <f t="shared" si="7"/>
        <v>0</v>
      </c>
      <c r="S69" s="54">
        <f t="shared" si="7"/>
        <v>-29719701</v>
      </c>
    </row>
    <row r="70" spans="1:19">
      <c r="A70" s="35" t="s">
        <v>1254</v>
      </c>
      <c r="B70" s="33" t="str">
        <f t="shared" si="2"/>
        <v>D336</v>
      </c>
      <c r="C70" s="34" t="s">
        <v>1267</v>
      </c>
      <c r="D70" s="941">
        <v>0</v>
      </c>
      <c r="E70" s="941">
        <v>0</v>
      </c>
      <c r="F70" s="941"/>
      <c r="G70" s="941"/>
      <c r="H70" s="941">
        <f t="shared" si="3"/>
        <v>0</v>
      </c>
      <c r="I70" s="941">
        <f t="shared" si="4"/>
        <v>0</v>
      </c>
      <c r="J70" s="941">
        <f>SUMIF(BTDC!$E$8:$E$32,BCDPS!A70,BTDC!$I$8:$I$32)</f>
        <v>0</v>
      </c>
      <c r="K70" s="941">
        <f>SUMIF(BTDC!$F$8:$F$32,BCDPS!B70,BTDC!$I$8:$I$32)</f>
        <v>0</v>
      </c>
      <c r="L70" s="941">
        <f t="shared" si="5"/>
        <v>0</v>
      </c>
      <c r="M70" s="941">
        <f t="shared" si="0"/>
        <v>0</v>
      </c>
      <c r="N70" s="942">
        <f t="shared" si="8"/>
        <v>0</v>
      </c>
      <c r="O70" s="54" t="str">
        <f t="shared" si="1"/>
        <v/>
      </c>
      <c r="P70" s="54"/>
      <c r="Q70" s="54"/>
      <c r="R70" s="54">
        <f t="shared" si="7"/>
        <v>0</v>
      </c>
      <c r="S70" s="54">
        <f t="shared" si="7"/>
        <v>0</v>
      </c>
    </row>
    <row r="71" spans="1:19">
      <c r="A71" s="35" t="s">
        <v>1263</v>
      </c>
      <c r="B71" s="33" t="str">
        <f>LEFT(A71,4)</f>
        <v>D338</v>
      </c>
      <c r="C71" s="34" t="s">
        <v>1268</v>
      </c>
      <c r="D71" s="941">
        <v>0</v>
      </c>
      <c r="E71" s="941">
        <v>0</v>
      </c>
      <c r="F71" s="941"/>
      <c r="G71" s="941"/>
      <c r="H71" s="941">
        <f t="shared" si="3"/>
        <v>0</v>
      </c>
      <c r="I71" s="941">
        <f t="shared" si="4"/>
        <v>0</v>
      </c>
      <c r="J71" s="941">
        <f>SUMIF(BTDC!$E$8:$E$32,BCDPS!A71,BTDC!$I$8:$I$32)</f>
        <v>0</v>
      </c>
      <c r="K71" s="941">
        <f>SUMIF(BTDC!$F$8:$F$32,BCDPS!B71,BTDC!$I$8:$I$32)</f>
        <v>0</v>
      </c>
      <c r="L71" s="941">
        <f t="shared" si="5"/>
        <v>0</v>
      </c>
      <c r="M71" s="941">
        <f t="shared" si="0"/>
        <v>0</v>
      </c>
      <c r="N71" s="942">
        <f>K71-J71</f>
        <v>0</v>
      </c>
      <c r="O71" s="54" t="str">
        <f t="shared" si="1"/>
        <v/>
      </c>
      <c r="P71" s="54"/>
      <c r="Q71" s="54"/>
      <c r="R71" s="54">
        <f t="shared" si="7"/>
        <v>0</v>
      </c>
      <c r="S71" s="54">
        <f t="shared" si="7"/>
        <v>0</v>
      </c>
    </row>
    <row r="72" spans="1:19">
      <c r="A72" s="35" t="s">
        <v>1513</v>
      </c>
      <c r="B72" s="33" t="str">
        <f>LEFT(A72,4)</f>
        <v>D339</v>
      </c>
      <c r="C72" s="34" t="s">
        <v>1514</v>
      </c>
      <c r="D72" s="941">
        <v>0</v>
      </c>
      <c r="E72" s="941">
        <v>0</v>
      </c>
      <c r="F72" s="941"/>
      <c r="G72" s="941"/>
      <c r="H72" s="941">
        <f t="shared" si="3"/>
        <v>0</v>
      </c>
      <c r="I72" s="941">
        <f t="shared" si="4"/>
        <v>0</v>
      </c>
      <c r="J72" s="941">
        <f>SUMIF(BTDC!$E$8:$E$32,BCDPS!A72,BTDC!$I$8:$I$32)</f>
        <v>0</v>
      </c>
      <c r="K72" s="941">
        <f>SUMIF(BTDC!$F$8:$F$32,BCDPS!B72,BTDC!$I$8:$I$32)</f>
        <v>0</v>
      </c>
      <c r="L72" s="941">
        <f t="shared" si="5"/>
        <v>0</v>
      </c>
      <c r="M72" s="941">
        <f t="shared" si="5"/>
        <v>0</v>
      </c>
      <c r="N72" s="942">
        <f t="shared" si="8"/>
        <v>0</v>
      </c>
      <c r="O72" s="54" t="str">
        <f t="shared" si="1"/>
        <v/>
      </c>
      <c r="P72" s="54"/>
      <c r="Q72" s="54"/>
      <c r="R72" s="54">
        <f t="shared" si="7"/>
        <v>0</v>
      </c>
      <c r="S72" s="54">
        <f t="shared" si="7"/>
        <v>0</v>
      </c>
    </row>
    <row r="73" spans="1:19">
      <c r="A73" s="35" t="s">
        <v>1253</v>
      </c>
      <c r="B73" s="33" t="str">
        <f t="shared" ref="B73:B93" si="9">LEFT(A73,4)</f>
        <v>D341</v>
      </c>
      <c r="C73" s="34" t="s">
        <v>874</v>
      </c>
      <c r="D73" s="941">
        <v>0</v>
      </c>
      <c r="E73" s="941">
        <v>11828653039</v>
      </c>
      <c r="F73" s="941"/>
      <c r="G73" s="941"/>
      <c r="H73" s="941">
        <f t="shared" ref="H73:H103" si="10">IF(D73+F73-E73-G73&gt;0,D73+F73-E73-G73,0)</f>
        <v>0</v>
      </c>
      <c r="I73" s="941">
        <f t="shared" ref="I73:I103" si="11">IF(E73+G73-F73-D73&gt;0,G73+E73-F73-D73,0)</f>
        <v>11828653039</v>
      </c>
      <c r="J73" s="941">
        <f>SUMIF(BTDC!$E$8:$E$32,BCDPS!A73,BTDC!$I$8:$I$32)</f>
        <v>0</v>
      </c>
      <c r="K73" s="941">
        <f>SUMIF(BTDC!$F$8:$F$32,BCDPS!B73,BTDC!$I$8:$I$32)</f>
        <v>0</v>
      </c>
      <c r="L73" s="941">
        <f t="shared" ref="L73:M103" si="12">H73+J73</f>
        <v>0</v>
      </c>
      <c r="M73" s="941">
        <f t="shared" si="12"/>
        <v>11828653039</v>
      </c>
      <c r="N73" s="942">
        <f t="shared" si="8"/>
        <v>0</v>
      </c>
      <c r="O73" s="54" t="str">
        <f t="shared" ref="O73:O105" si="13">IF(OR(J73&lt;&gt;0,K73&lt;&gt;0),"Print","")</f>
        <v/>
      </c>
      <c r="P73" s="54"/>
      <c r="Q73" s="54"/>
      <c r="R73" s="54">
        <f t="shared" ref="R73:S105" si="14">P73-D73</f>
        <v>0</v>
      </c>
      <c r="S73" s="54">
        <f t="shared" si="14"/>
        <v>-11828653039</v>
      </c>
    </row>
    <row r="74" spans="1:19">
      <c r="A74" s="35" t="s">
        <v>1265</v>
      </c>
      <c r="B74" s="33" t="str">
        <f t="shared" si="9"/>
        <v>D333</v>
      </c>
      <c r="C74" s="34" t="s">
        <v>875</v>
      </c>
      <c r="D74" s="941">
        <v>0</v>
      </c>
      <c r="E74" s="941">
        <v>0</v>
      </c>
      <c r="F74" s="941"/>
      <c r="G74" s="941"/>
      <c r="H74" s="941">
        <f t="shared" si="10"/>
        <v>0</v>
      </c>
      <c r="I74" s="941">
        <f t="shared" si="11"/>
        <v>0</v>
      </c>
      <c r="J74" s="941">
        <f>SUMIF(BTDC!$E$8:$E$32,BCDPS!A74,BTDC!$I$8:$I$32)</f>
        <v>0</v>
      </c>
      <c r="K74" s="941">
        <f>SUMIF(BTDC!$F$8:$F$32,BCDPS!B74,BTDC!$I$8:$I$32)</f>
        <v>0</v>
      </c>
      <c r="L74" s="941">
        <f t="shared" si="12"/>
        <v>0</v>
      </c>
      <c r="M74" s="941">
        <f t="shared" si="12"/>
        <v>0</v>
      </c>
      <c r="N74" s="942">
        <f t="shared" si="8"/>
        <v>0</v>
      </c>
      <c r="O74" s="54" t="str">
        <f t="shared" si="13"/>
        <v/>
      </c>
      <c r="P74" s="54"/>
      <c r="Q74" s="54"/>
      <c r="R74" s="54">
        <f t="shared" si="14"/>
        <v>0</v>
      </c>
      <c r="S74" s="54">
        <f t="shared" si="14"/>
        <v>0</v>
      </c>
    </row>
    <row r="75" spans="1:19">
      <c r="A75" s="35" t="s">
        <v>1476</v>
      </c>
      <c r="B75" s="33" t="str">
        <f t="shared" si="9"/>
        <v>D411</v>
      </c>
      <c r="C75" s="34" t="s">
        <v>876</v>
      </c>
      <c r="D75" s="941">
        <v>0</v>
      </c>
      <c r="E75" s="941">
        <v>10000000000</v>
      </c>
      <c r="F75" s="941"/>
      <c r="G75" s="941"/>
      <c r="H75" s="941">
        <f t="shared" si="10"/>
        <v>0</v>
      </c>
      <c r="I75" s="941">
        <f t="shared" si="11"/>
        <v>10000000000</v>
      </c>
      <c r="J75" s="941">
        <f>SUMIF(BTDC!$E$8:$E$32,BCDPS!A75,BTDC!$I$8:$I$32)</f>
        <v>0</v>
      </c>
      <c r="K75" s="941">
        <f>SUMIF(BTDC!$F$8:$F$32,BCDPS!B75,BTDC!$I$8:$I$32)</f>
        <v>0</v>
      </c>
      <c r="L75" s="941">
        <f t="shared" si="12"/>
        <v>0</v>
      </c>
      <c r="M75" s="941">
        <f t="shared" si="12"/>
        <v>10000000000</v>
      </c>
      <c r="N75" s="942">
        <f>K75-J75</f>
        <v>0</v>
      </c>
      <c r="O75" s="54" t="str">
        <f t="shared" si="13"/>
        <v/>
      </c>
      <c r="P75" s="54"/>
      <c r="Q75" s="54"/>
      <c r="R75" s="54">
        <f t="shared" si="14"/>
        <v>0</v>
      </c>
      <c r="S75" s="54">
        <f t="shared" si="14"/>
        <v>-10000000000</v>
      </c>
    </row>
    <row r="76" spans="1:19">
      <c r="A76" s="35" t="s">
        <v>1517</v>
      </c>
      <c r="B76" s="33" t="s">
        <v>1517</v>
      </c>
      <c r="C76" s="34" t="s">
        <v>1518</v>
      </c>
      <c r="D76" s="941">
        <v>0</v>
      </c>
      <c r="E76" s="941">
        <v>0</v>
      </c>
      <c r="F76" s="941"/>
      <c r="G76" s="941"/>
      <c r="H76" s="941">
        <f t="shared" si="10"/>
        <v>0</v>
      </c>
      <c r="I76" s="941">
        <f t="shared" si="11"/>
        <v>0</v>
      </c>
      <c r="J76" s="941">
        <f>SUMIF(BTDC!$E$8:$E$32,BCDPS!A76,BTDC!$I$8:$I$32)</f>
        <v>0</v>
      </c>
      <c r="K76" s="941">
        <f>SUMIF(BTDC!$F$8:$F$32,BCDPS!B76,BTDC!$I$8:$I$32)</f>
        <v>0</v>
      </c>
      <c r="L76" s="941">
        <f t="shared" si="12"/>
        <v>0</v>
      </c>
      <c r="M76" s="941">
        <f t="shared" si="12"/>
        <v>0</v>
      </c>
      <c r="N76" s="942">
        <f t="shared" si="8"/>
        <v>0</v>
      </c>
      <c r="O76" s="54" t="str">
        <f t="shared" si="13"/>
        <v/>
      </c>
      <c r="P76" s="54"/>
      <c r="Q76" s="54"/>
      <c r="R76" s="54">
        <f t="shared" si="14"/>
        <v>0</v>
      </c>
      <c r="S76" s="54">
        <f t="shared" si="14"/>
        <v>0</v>
      </c>
    </row>
    <row r="77" spans="1:19">
      <c r="A77" s="35" t="s">
        <v>1477</v>
      </c>
      <c r="B77" s="33" t="str">
        <f t="shared" si="9"/>
        <v>D417</v>
      </c>
      <c r="C77" s="34" t="s">
        <v>877</v>
      </c>
      <c r="D77" s="941">
        <v>0</v>
      </c>
      <c r="E77" s="941">
        <v>129000000</v>
      </c>
      <c r="F77" s="941"/>
      <c r="G77" s="941"/>
      <c r="H77" s="941">
        <f t="shared" si="10"/>
        <v>0</v>
      </c>
      <c r="I77" s="941">
        <f t="shared" si="11"/>
        <v>129000000</v>
      </c>
      <c r="J77" s="941">
        <f>SUMIF(BTDC!$E$8:$E$32,BCDPS!A77,BTDC!$I$8:$I$32)</f>
        <v>0</v>
      </c>
      <c r="K77" s="941">
        <f>SUMIF(BTDC!$F$8:$F$32,BCDPS!B77,BTDC!$I$8:$I$32)</f>
        <v>0</v>
      </c>
      <c r="L77" s="941">
        <f t="shared" si="12"/>
        <v>0</v>
      </c>
      <c r="M77" s="941">
        <f t="shared" si="12"/>
        <v>129000000</v>
      </c>
      <c r="N77" s="942">
        <f t="shared" si="8"/>
        <v>0</v>
      </c>
      <c r="O77" s="54" t="str">
        <f t="shared" si="13"/>
        <v/>
      </c>
      <c r="P77" s="54"/>
      <c r="Q77" s="54"/>
      <c r="R77" s="54">
        <f t="shared" si="14"/>
        <v>0</v>
      </c>
      <c r="S77" s="54">
        <f t="shared" si="14"/>
        <v>-129000000</v>
      </c>
    </row>
    <row r="78" spans="1:19">
      <c r="A78" s="35" t="s">
        <v>1478</v>
      </c>
      <c r="B78" s="33" t="str">
        <f t="shared" si="9"/>
        <v>D419</v>
      </c>
      <c r="C78" s="34" t="s">
        <v>855</v>
      </c>
      <c r="D78" s="941">
        <v>0</v>
      </c>
      <c r="E78" s="941">
        <v>0</v>
      </c>
      <c r="F78" s="941"/>
      <c r="G78" s="941"/>
      <c r="H78" s="941">
        <f t="shared" si="10"/>
        <v>0</v>
      </c>
      <c r="I78" s="941">
        <f t="shared" si="11"/>
        <v>0</v>
      </c>
      <c r="J78" s="941">
        <f>SUMIF(BTDC!$E$8:$E$32,BCDPS!A78,BTDC!$I$8:$I$32)</f>
        <v>0</v>
      </c>
      <c r="K78" s="941">
        <f>SUMIF(BTDC!$F$8:$F$32,BCDPS!B78,BTDC!$I$8:$I$32)</f>
        <v>0</v>
      </c>
      <c r="L78" s="941">
        <f t="shared" si="12"/>
        <v>0</v>
      </c>
      <c r="M78" s="941">
        <f t="shared" si="12"/>
        <v>0</v>
      </c>
      <c r="N78" s="942">
        <f t="shared" si="8"/>
        <v>0</v>
      </c>
      <c r="O78" s="54" t="str">
        <f t="shared" si="13"/>
        <v/>
      </c>
      <c r="P78" s="54"/>
      <c r="Q78" s="54"/>
      <c r="R78" s="54">
        <f t="shared" si="14"/>
        <v>0</v>
      </c>
      <c r="S78" s="54">
        <f t="shared" si="14"/>
        <v>0</v>
      </c>
    </row>
    <row r="79" spans="1:19">
      <c r="A79" s="35" t="s">
        <v>1479</v>
      </c>
      <c r="B79" s="33" t="str">
        <f t="shared" si="9"/>
        <v>D412</v>
      </c>
      <c r="C79" s="34" t="s">
        <v>856</v>
      </c>
      <c r="D79" s="941">
        <v>0</v>
      </c>
      <c r="E79" s="941">
        <v>0</v>
      </c>
      <c r="F79" s="941"/>
      <c r="G79" s="941"/>
      <c r="H79" s="941">
        <f t="shared" si="10"/>
        <v>0</v>
      </c>
      <c r="I79" s="941">
        <f t="shared" si="11"/>
        <v>0</v>
      </c>
      <c r="J79" s="941">
        <f>SUMIF(BTDC!$E$8:$E$32,BCDPS!A79,BTDC!$I$8:$I$32)</f>
        <v>0</v>
      </c>
      <c r="K79" s="941">
        <f>SUMIF(BTDC!$F$8:$F$32,BCDPS!B79,BTDC!$I$8:$I$32)</f>
        <v>0</v>
      </c>
      <c r="L79" s="941">
        <f t="shared" si="12"/>
        <v>0</v>
      </c>
      <c r="M79" s="941">
        <f t="shared" si="12"/>
        <v>0</v>
      </c>
      <c r="N79" s="942">
        <f t="shared" si="8"/>
        <v>0</v>
      </c>
      <c r="O79" s="54" t="str">
        <f t="shared" si="13"/>
        <v/>
      </c>
      <c r="P79" s="54"/>
      <c r="Q79" s="54"/>
      <c r="R79" s="54">
        <f t="shared" si="14"/>
        <v>0</v>
      </c>
      <c r="S79" s="54">
        <f t="shared" si="14"/>
        <v>0</v>
      </c>
    </row>
    <row r="80" spans="1:19">
      <c r="A80" s="35" t="s">
        <v>1480</v>
      </c>
      <c r="B80" s="33" t="str">
        <f t="shared" si="9"/>
        <v>D413</v>
      </c>
      <c r="C80" s="34" t="s">
        <v>857</v>
      </c>
      <c r="D80" s="941">
        <v>56788462</v>
      </c>
      <c r="E80" s="941">
        <v>0</v>
      </c>
      <c r="F80" s="941"/>
      <c r="G80" s="941"/>
      <c r="H80" s="941">
        <f t="shared" si="10"/>
        <v>56788462</v>
      </c>
      <c r="I80" s="941">
        <f t="shared" si="11"/>
        <v>0</v>
      </c>
      <c r="J80" s="941">
        <f>SUMIF(BTDC!$E$8:$E$32,BCDPS!A80,BTDC!$I$8:$I$32)</f>
        <v>0</v>
      </c>
      <c r="K80" s="941">
        <f>SUMIF(BTDC!$F$8:$F$32,BCDPS!B80,BTDC!$I$8:$I$32)</f>
        <v>0</v>
      </c>
      <c r="L80" s="941">
        <f t="shared" si="12"/>
        <v>56788462</v>
      </c>
      <c r="M80" s="941">
        <f t="shared" si="12"/>
        <v>0</v>
      </c>
      <c r="N80" s="942">
        <f t="shared" si="8"/>
        <v>0</v>
      </c>
      <c r="O80" s="54" t="str">
        <f t="shared" si="13"/>
        <v/>
      </c>
      <c r="P80" s="54"/>
      <c r="Q80" s="54"/>
      <c r="R80" s="54">
        <f t="shared" si="14"/>
        <v>-56788462</v>
      </c>
      <c r="S80" s="54">
        <f t="shared" si="14"/>
        <v>0</v>
      </c>
    </row>
    <row r="81" spans="1:19">
      <c r="A81" s="35" t="s">
        <v>1481</v>
      </c>
      <c r="B81" s="33" t="str">
        <f t="shared" si="9"/>
        <v>D414</v>
      </c>
      <c r="C81" s="34" t="s">
        <v>858</v>
      </c>
      <c r="D81" s="941">
        <v>0</v>
      </c>
      <c r="E81" s="941">
        <v>209591194</v>
      </c>
      <c r="F81" s="941"/>
      <c r="G81" s="941"/>
      <c r="H81" s="941">
        <f t="shared" si="10"/>
        <v>0</v>
      </c>
      <c r="I81" s="941">
        <f t="shared" si="11"/>
        <v>209591194</v>
      </c>
      <c r="J81" s="941">
        <f>SUMIF(BTDC!$E$8:$E$32,BCDPS!A81,BTDC!$I$8:$I$32)</f>
        <v>0</v>
      </c>
      <c r="K81" s="941">
        <f>SUMIF(BTDC!$F$8:$F$32,BCDPS!B81,BTDC!$I$8:$I$32)</f>
        <v>0</v>
      </c>
      <c r="L81" s="941">
        <f t="shared" si="12"/>
        <v>0</v>
      </c>
      <c r="M81" s="941">
        <f t="shared" si="12"/>
        <v>209591194</v>
      </c>
      <c r="N81" s="942">
        <f t="shared" si="8"/>
        <v>0</v>
      </c>
      <c r="O81" s="54" t="str">
        <f t="shared" si="13"/>
        <v/>
      </c>
      <c r="P81" s="54"/>
      <c r="Q81" s="54"/>
      <c r="R81" s="54">
        <f t="shared" si="14"/>
        <v>0</v>
      </c>
      <c r="S81" s="54">
        <f t="shared" si="14"/>
        <v>-209591194</v>
      </c>
    </row>
    <row r="82" spans="1:19">
      <c r="A82" s="35" t="s">
        <v>1482</v>
      </c>
      <c r="B82" s="33" t="str">
        <f t="shared" si="9"/>
        <v>D415</v>
      </c>
      <c r="C82" s="34" t="s">
        <v>859</v>
      </c>
      <c r="D82" s="941">
        <v>0</v>
      </c>
      <c r="E82" s="941">
        <v>232649086</v>
      </c>
      <c r="F82" s="941"/>
      <c r="G82" s="941"/>
      <c r="H82" s="941">
        <f t="shared" si="10"/>
        <v>0</v>
      </c>
      <c r="I82" s="941">
        <f t="shared" si="11"/>
        <v>232649086</v>
      </c>
      <c r="J82" s="941">
        <f>SUMIF(BTDC!$E$8:$E$32,BCDPS!A82,BTDC!$I$8:$I$32)</f>
        <v>0</v>
      </c>
      <c r="K82" s="941">
        <f>SUMIF(BTDC!$F$8:$F$32,BCDPS!B82,BTDC!$I$8:$I$32)</f>
        <v>0</v>
      </c>
      <c r="L82" s="941">
        <f t="shared" si="12"/>
        <v>0</v>
      </c>
      <c r="M82" s="941">
        <f t="shared" si="12"/>
        <v>232649086</v>
      </c>
      <c r="N82" s="942">
        <f t="shared" si="8"/>
        <v>0</v>
      </c>
      <c r="O82" s="54" t="str">
        <f t="shared" si="13"/>
        <v/>
      </c>
      <c r="P82" s="54"/>
      <c r="Q82" s="54"/>
      <c r="R82" s="54">
        <f t="shared" si="14"/>
        <v>0</v>
      </c>
      <c r="S82" s="54">
        <f t="shared" si="14"/>
        <v>-232649086</v>
      </c>
    </row>
    <row r="83" spans="1:19">
      <c r="A83" s="35" t="s">
        <v>1483</v>
      </c>
      <c r="B83" s="33" t="str">
        <f t="shared" si="9"/>
        <v>D044</v>
      </c>
      <c r="C83" s="34" t="s">
        <v>860</v>
      </c>
      <c r="D83" s="941">
        <v>0</v>
      </c>
      <c r="E83" s="941">
        <v>0</v>
      </c>
      <c r="F83" s="941"/>
      <c r="G83" s="941"/>
      <c r="H83" s="941">
        <f t="shared" si="10"/>
        <v>0</v>
      </c>
      <c r="I83" s="941">
        <f t="shared" si="11"/>
        <v>0</v>
      </c>
      <c r="J83" s="941">
        <f>SUMIF(BTDC!$E$8:$E$32,BCDPS!A83,BTDC!$I$8:$I$32)</f>
        <v>0</v>
      </c>
      <c r="K83" s="941">
        <f>SUMIF(BTDC!$F$8:$F$32,BCDPS!B83,BTDC!$I$8:$I$32)</f>
        <v>0</v>
      </c>
      <c r="L83" s="941">
        <f t="shared" si="12"/>
        <v>0</v>
      </c>
      <c r="M83" s="941">
        <f t="shared" si="12"/>
        <v>0</v>
      </c>
      <c r="N83" s="942">
        <f t="shared" si="8"/>
        <v>0</v>
      </c>
      <c r="O83" s="54" t="str">
        <f t="shared" si="13"/>
        <v/>
      </c>
      <c r="P83" s="54"/>
      <c r="Q83" s="54"/>
      <c r="R83" s="54">
        <f t="shared" si="14"/>
        <v>0</v>
      </c>
      <c r="S83" s="54">
        <f t="shared" si="14"/>
        <v>0</v>
      </c>
    </row>
    <row r="84" spans="1:19">
      <c r="A84" s="35" t="s">
        <v>1484</v>
      </c>
      <c r="B84" s="33" t="str">
        <f t="shared" si="9"/>
        <v>D421</v>
      </c>
      <c r="C84" s="34" t="s">
        <v>861</v>
      </c>
      <c r="D84" s="941">
        <v>0</v>
      </c>
      <c r="E84" s="941">
        <v>492695641</v>
      </c>
      <c r="F84" s="941"/>
      <c r="G84" s="941"/>
      <c r="H84" s="941">
        <f t="shared" si="10"/>
        <v>0</v>
      </c>
      <c r="I84" s="941">
        <f t="shared" si="11"/>
        <v>492695641</v>
      </c>
      <c r="J84" s="941">
        <f>SUMIF(BTDC!$E$8:$E$32,BCDPS!A84,BTDC!$I$8:$I$32)</f>
        <v>0</v>
      </c>
      <c r="K84" s="941">
        <f>SUMIF(BTDC!$F$8:$F$32,BCDPS!B84,BTDC!$I$8:$I$32)</f>
        <v>0</v>
      </c>
      <c r="L84" s="941">
        <f t="shared" si="12"/>
        <v>0</v>
      </c>
      <c r="M84" s="941">
        <f t="shared" si="12"/>
        <v>492695641</v>
      </c>
      <c r="N84" s="942">
        <f t="shared" si="8"/>
        <v>0</v>
      </c>
      <c r="O84" s="54" t="str">
        <f t="shared" si="13"/>
        <v/>
      </c>
      <c r="P84" s="54"/>
      <c r="Q84" s="54"/>
      <c r="R84" s="54">
        <f t="shared" si="14"/>
        <v>0</v>
      </c>
      <c r="S84" s="54">
        <f t="shared" si="14"/>
        <v>-492695641</v>
      </c>
    </row>
    <row r="85" spans="1:19">
      <c r="A85" s="35" t="s">
        <v>1485</v>
      </c>
      <c r="B85" s="33" t="str">
        <f t="shared" si="9"/>
        <v>D431</v>
      </c>
      <c r="C85" s="34" t="s">
        <v>862</v>
      </c>
      <c r="D85" s="941">
        <v>0</v>
      </c>
      <c r="E85" s="941">
        <v>13344581</v>
      </c>
      <c r="F85" s="941"/>
      <c r="G85" s="941"/>
      <c r="H85" s="941">
        <f t="shared" si="10"/>
        <v>0</v>
      </c>
      <c r="I85" s="941">
        <f t="shared" si="11"/>
        <v>13344581</v>
      </c>
      <c r="J85" s="941">
        <f>SUMIF(BTDC!$E$8:$E$32,BCDPS!A85,BTDC!$I$8:$I$32)</f>
        <v>0</v>
      </c>
      <c r="K85" s="941">
        <f>SUMIF(BTDC!$F$8:$F$32,BCDPS!B85,BTDC!$I$8:$I$32)</f>
        <v>0</v>
      </c>
      <c r="L85" s="941">
        <f t="shared" si="12"/>
        <v>0</v>
      </c>
      <c r="M85" s="941">
        <f t="shared" si="12"/>
        <v>13344581</v>
      </c>
      <c r="N85" s="942">
        <f t="shared" si="8"/>
        <v>0</v>
      </c>
      <c r="O85" s="54">
        <v>353</v>
      </c>
      <c r="P85" s="54"/>
      <c r="Q85" s="54"/>
      <c r="R85" s="54">
        <f t="shared" si="14"/>
        <v>0</v>
      </c>
      <c r="S85" s="54">
        <f t="shared" si="14"/>
        <v>-13344581</v>
      </c>
    </row>
    <row r="86" spans="1:19">
      <c r="A86" s="35" t="s">
        <v>1506</v>
      </c>
      <c r="B86" s="33" t="str">
        <f t="shared" si="9"/>
        <v>D441</v>
      </c>
      <c r="C86" s="34" t="s">
        <v>1520</v>
      </c>
      <c r="D86" s="941">
        <v>0</v>
      </c>
      <c r="E86" s="941">
        <v>0</v>
      </c>
      <c r="F86" s="941"/>
      <c r="G86" s="941"/>
      <c r="H86" s="941">
        <f t="shared" si="10"/>
        <v>0</v>
      </c>
      <c r="I86" s="941">
        <f t="shared" si="11"/>
        <v>0</v>
      </c>
      <c r="J86" s="941">
        <f>SUMIF(BTDC!$E$8:$E$32,BCDPS!A86,BTDC!$I$8:$I$32)</f>
        <v>0</v>
      </c>
      <c r="K86" s="941">
        <f>SUMIF(BTDC!$F$8:$F$32,BCDPS!B86,BTDC!$I$8:$I$32)</f>
        <v>0</v>
      </c>
      <c r="L86" s="941">
        <f t="shared" si="12"/>
        <v>0</v>
      </c>
      <c r="M86" s="941">
        <f t="shared" si="12"/>
        <v>0</v>
      </c>
      <c r="N86" s="942">
        <f>K86-J86</f>
        <v>0</v>
      </c>
      <c r="O86" s="54" t="str">
        <f t="shared" si="13"/>
        <v/>
      </c>
      <c r="P86" s="54"/>
      <c r="Q86" s="54"/>
      <c r="R86" s="54">
        <f t="shared" si="14"/>
        <v>0</v>
      </c>
      <c r="S86" s="54">
        <f t="shared" si="14"/>
        <v>0</v>
      </c>
    </row>
    <row r="87" spans="1:19">
      <c r="A87" s="35" t="s">
        <v>1486</v>
      </c>
      <c r="B87" s="33" t="str">
        <f t="shared" si="9"/>
        <v>D461</v>
      </c>
      <c r="C87" s="34" t="s">
        <v>863</v>
      </c>
      <c r="D87" s="941">
        <v>0</v>
      </c>
      <c r="E87" s="941">
        <v>0</v>
      </c>
      <c r="F87" s="941"/>
      <c r="G87" s="941"/>
      <c r="H87" s="941">
        <f t="shared" si="10"/>
        <v>0</v>
      </c>
      <c r="I87" s="941">
        <f t="shared" si="11"/>
        <v>0</v>
      </c>
      <c r="J87" s="941">
        <f>SUMIF(BTDC!$E$8:$E$32,BCDPS!A87,BTDC!$I$8:$I$32)</f>
        <v>0</v>
      </c>
      <c r="K87" s="941">
        <f>SUMIF(BTDC!$F$8:$F$32,BCDPS!B87,BTDC!$I$8:$I$32)</f>
        <v>0</v>
      </c>
      <c r="L87" s="941">
        <f t="shared" si="12"/>
        <v>0</v>
      </c>
      <c r="M87" s="941">
        <f t="shared" si="12"/>
        <v>0</v>
      </c>
      <c r="N87" s="942">
        <f t="shared" si="8"/>
        <v>0</v>
      </c>
      <c r="O87" s="54" t="str">
        <f t="shared" si="13"/>
        <v/>
      </c>
      <c r="P87" s="54"/>
      <c r="Q87" s="54"/>
      <c r="R87" s="54">
        <f t="shared" si="14"/>
        <v>0</v>
      </c>
      <c r="S87" s="54">
        <f t="shared" si="14"/>
        <v>0</v>
      </c>
    </row>
    <row r="88" spans="1:19">
      <c r="A88" s="35" t="s">
        <v>1487</v>
      </c>
      <c r="B88" s="33" t="str">
        <f t="shared" si="9"/>
        <v>D466</v>
      </c>
      <c r="C88" s="34" t="s">
        <v>864</v>
      </c>
      <c r="D88" s="941">
        <v>0</v>
      </c>
      <c r="E88" s="941">
        <v>0</v>
      </c>
      <c r="F88" s="941"/>
      <c r="G88" s="941"/>
      <c r="H88" s="941">
        <f t="shared" si="10"/>
        <v>0</v>
      </c>
      <c r="I88" s="941">
        <f t="shared" si="11"/>
        <v>0</v>
      </c>
      <c r="J88" s="941">
        <f>SUMIF(BTDC!$E$8:$E$32,BCDPS!A88,BTDC!$I$8:$I$32)</f>
        <v>0</v>
      </c>
      <c r="K88" s="941">
        <f>SUMIF(BTDC!$F$8:$F$32,BCDPS!B88,BTDC!$I$8:$I$32)</f>
        <v>0</v>
      </c>
      <c r="L88" s="941">
        <f t="shared" si="12"/>
        <v>0</v>
      </c>
      <c r="M88" s="941">
        <f t="shared" si="12"/>
        <v>0</v>
      </c>
      <c r="N88" s="942">
        <f t="shared" si="8"/>
        <v>0</v>
      </c>
      <c r="O88" s="54" t="str">
        <f t="shared" si="13"/>
        <v/>
      </c>
      <c r="P88" s="54"/>
      <c r="Q88" s="54"/>
      <c r="R88" s="54">
        <f t="shared" si="14"/>
        <v>0</v>
      </c>
      <c r="S88" s="54">
        <f t="shared" si="14"/>
        <v>0</v>
      </c>
    </row>
    <row r="89" spans="1:19">
      <c r="A89" s="35">
        <v>511</v>
      </c>
      <c r="B89" s="33" t="str">
        <f t="shared" si="9"/>
        <v>511</v>
      </c>
      <c r="C89" s="34" t="s">
        <v>1564</v>
      </c>
      <c r="D89" s="941">
        <v>0</v>
      </c>
      <c r="E89" s="941">
        <v>0</v>
      </c>
      <c r="F89" s="941"/>
      <c r="G89" s="941"/>
      <c r="H89" s="941">
        <f t="shared" si="10"/>
        <v>0</v>
      </c>
      <c r="I89" s="941">
        <f t="shared" si="11"/>
        <v>0</v>
      </c>
      <c r="J89" s="941">
        <f>SUMIF(BTDC!$E$8:$E$32,BCDPS!A89,BTDC!$I$8:$I$32)</f>
        <v>0</v>
      </c>
      <c r="K89" s="941">
        <f>SUMIF(BTDC!$F$8:$F$32,BCDPS!B89,BTDC!$I$8:$I$32)</f>
        <v>0</v>
      </c>
      <c r="L89" s="941">
        <f t="shared" si="12"/>
        <v>0</v>
      </c>
      <c r="M89" s="941">
        <f t="shared" si="12"/>
        <v>0</v>
      </c>
      <c r="N89" s="942">
        <f>K89-J89</f>
        <v>0</v>
      </c>
      <c r="O89" s="54" t="str">
        <f t="shared" si="13"/>
        <v/>
      </c>
      <c r="P89" s="54"/>
      <c r="Q89" s="54"/>
      <c r="R89" s="54">
        <f t="shared" si="14"/>
        <v>0</v>
      </c>
      <c r="S89" s="54">
        <f t="shared" si="14"/>
        <v>0</v>
      </c>
    </row>
    <row r="90" spans="1:19">
      <c r="A90" s="35">
        <v>5117</v>
      </c>
      <c r="B90" s="33" t="str">
        <f t="shared" si="9"/>
        <v>5117</v>
      </c>
      <c r="C90" s="34" t="s">
        <v>1131</v>
      </c>
      <c r="D90" s="941">
        <v>0</v>
      </c>
      <c r="E90" s="941">
        <v>0</v>
      </c>
      <c r="F90" s="941"/>
      <c r="G90" s="941"/>
      <c r="H90" s="941">
        <f t="shared" si="10"/>
        <v>0</v>
      </c>
      <c r="I90" s="941">
        <f t="shared" si="11"/>
        <v>0</v>
      </c>
      <c r="J90" s="941">
        <f>SUMIF(BTDC!$E$8:$E$32,BCDPS!A90,BTDC!$I$8:$I$32)</f>
        <v>0</v>
      </c>
      <c r="K90" s="941">
        <f>SUMIF(BTDC!$F$8:$F$32,BCDPS!B90,BTDC!$I$8:$I$32)</f>
        <v>0</v>
      </c>
      <c r="L90" s="941">
        <f t="shared" si="12"/>
        <v>0</v>
      </c>
      <c r="M90" s="941">
        <f t="shared" si="12"/>
        <v>0</v>
      </c>
      <c r="N90" s="942">
        <f>K90-J90</f>
        <v>0</v>
      </c>
      <c r="O90" s="54" t="str">
        <f t="shared" si="13"/>
        <v/>
      </c>
      <c r="P90" s="54"/>
      <c r="Q90" s="54"/>
      <c r="R90" s="54">
        <f t="shared" si="14"/>
        <v>0</v>
      </c>
      <c r="S90" s="54">
        <f t="shared" si="14"/>
        <v>0</v>
      </c>
    </row>
    <row r="91" spans="1:19">
      <c r="A91" s="35">
        <v>515</v>
      </c>
      <c r="B91" s="33" t="str">
        <f t="shared" si="9"/>
        <v>515</v>
      </c>
      <c r="C91" s="34" t="s">
        <v>1565</v>
      </c>
      <c r="D91" s="941">
        <v>0</v>
      </c>
      <c r="E91" s="941">
        <v>0</v>
      </c>
      <c r="F91" s="941"/>
      <c r="G91" s="941"/>
      <c r="H91" s="941">
        <f t="shared" si="10"/>
        <v>0</v>
      </c>
      <c r="I91" s="941">
        <f t="shared" si="11"/>
        <v>0</v>
      </c>
      <c r="J91" s="941">
        <f>SUMIF(BTDC!$E$8:$E$32,BCDPS!A91,BTDC!$I$8:$I$32)</f>
        <v>0</v>
      </c>
      <c r="K91" s="941">
        <f>SUMIF(BTDC!$F$8:$F$32,BCDPS!B91,BTDC!$I$8:$I$32)</f>
        <v>0</v>
      </c>
      <c r="L91" s="941">
        <f t="shared" si="12"/>
        <v>0</v>
      </c>
      <c r="M91" s="941">
        <f t="shared" si="12"/>
        <v>0</v>
      </c>
      <c r="N91" s="942">
        <f>K91-J91</f>
        <v>0</v>
      </c>
      <c r="O91" s="54" t="str">
        <f t="shared" si="13"/>
        <v/>
      </c>
      <c r="P91" s="54"/>
      <c r="Q91" s="54"/>
      <c r="R91" s="54">
        <f t="shared" si="14"/>
        <v>0</v>
      </c>
      <c r="S91" s="54">
        <f t="shared" si="14"/>
        <v>0</v>
      </c>
    </row>
    <row r="92" spans="1:19">
      <c r="A92" s="35">
        <v>621</v>
      </c>
      <c r="B92" s="33" t="str">
        <f t="shared" si="9"/>
        <v>621</v>
      </c>
      <c r="C92" s="34" t="s">
        <v>1566</v>
      </c>
      <c r="D92" s="941">
        <v>0</v>
      </c>
      <c r="E92" s="941">
        <v>0</v>
      </c>
      <c r="F92" s="941"/>
      <c r="G92" s="941"/>
      <c r="H92" s="941">
        <f t="shared" si="10"/>
        <v>0</v>
      </c>
      <c r="I92" s="941">
        <f t="shared" si="11"/>
        <v>0</v>
      </c>
      <c r="J92" s="941">
        <f>SUMIF(BTDC!$E$8:$E$32,BCDPS!A92,BTDC!$I$8:$I$32)</f>
        <v>0</v>
      </c>
      <c r="K92" s="941">
        <f>SUMIF(BTDC!$F$8:$F$32,BCDPS!B92,BTDC!$I$8:$I$32)</f>
        <v>0</v>
      </c>
      <c r="L92" s="941">
        <f t="shared" si="12"/>
        <v>0</v>
      </c>
      <c r="M92" s="941">
        <f t="shared" si="12"/>
        <v>0</v>
      </c>
      <c r="N92" s="942">
        <f>J92-K92</f>
        <v>0</v>
      </c>
      <c r="O92" s="54" t="str">
        <f t="shared" si="13"/>
        <v/>
      </c>
      <c r="P92" s="54"/>
      <c r="Q92" s="54"/>
      <c r="R92" s="54">
        <f t="shared" si="14"/>
        <v>0</v>
      </c>
      <c r="S92" s="54">
        <f t="shared" si="14"/>
        <v>0</v>
      </c>
    </row>
    <row r="93" spans="1:19">
      <c r="A93" s="35">
        <v>622</v>
      </c>
      <c r="B93" s="33" t="str">
        <f t="shared" si="9"/>
        <v>622</v>
      </c>
      <c r="C93" s="34" t="s">
        <v>1567</v>
      </c>
      <c r="D93" s="941">
        <v>0</v>
      </c>
      <c r="E93" s="941">
        <v>0</v>
      </c>
      <c r="F93" s="941"/>
      <c r="G93" s="941"/>
      <c r="H93" s="941">
        <f t="shared" si="10"/>
        <v>0</v>
      </c>
      <c r="I93" s="941">
        <f t="shared" si="11"/>
        <v>0</v>
      </c>
      <c r="J93" s="941">
        <f>SUMIF(BTDC!$E$8:$E$32,BCDPS!A93,BTDC!$I$8:$I$32)</f>
        <v>0</v>
      </c>
      <c r="K93" s="941">
        <f>SUMIF(BTDC!$F$8:$F$32,BCDPS!B93,BTDC!$I$8:$I$32)</f>
        <v>0</v>
      </c>
      <c r="L93" s="941">
        <f t="shared" si="12"/>
        <v>0</v>
      </c>
      <c r="M93" s="941">
        <f t="shared" si="12"/>
        <v>0</v>
      </c>
      <c r="N93" s="942">
        <f t="shared" ref="N93:N101" si="15">J93-K93</f>
        <v>0</v>
      </c>
      <c r="O93" s="54" t="str">
        <f t="shared" si="13"/>
        <v/>
      </c>
      <c r="P93" s="54"/>
      <c r="Q93" s="54"/>
      <c r="R93" s="54">
        <f t="shared" si="14"/>
        <v>0</v>
      </c>
      <c r="S93" s="54">
        <f t="shared" si="14"/>
        <v>0</v>
      </c>
    </row>
    <row r="94" spans="1:19">
      <c r="A94" s="35">
        <v>623</v>
      </c>
      <c r="B94" s="33" t="str">
        <f>LEFT(A94,4)</f>
        <v>623</v>
      </c>
      <c r="C94" s="34" t="s">
        <v>1568</v>
      </c>
      <c r="D94" s="941">
        <v>0</v>
      </c>
      <c r="E94" s="941">
        <v>0</v>
      </c>
      <c r="F94" s="941"/>
      <c r="G94" s="941"/>
      <c r="H94" s="941">
        <f t="shared" si="10"/>
        <v>0</v>
      </c>
      <c r="I94" s="941">
        <f t="shared" si="11"/>
        <v>0</v>
      </c>
      <c r="J94" s="941">
        <f>SUMIF(BTDC!$E$8:$E$32,BCDPS!A94,BTDC!$I$8:$I$32)</f>
        <v>0</v>
      </c>
      <c r="K94" s="941">
        <f>SUMIF(BTDC!$F$8:$F$32,BCDPS!B94,BTDC!$I$8:$I$32)</f>
        <v>0</v>
      </c>
      <c r="L94" s="941">
        <f t="shared" si="12"/>
        <v>0</v>
      </c>
      <c r="M94" s="941">
        <f t="shared" si="12"/>
        <v>0</v>
      </c>
      <c r="N94" s="942">
        <f t="shared" si="15"/>
        <v>0</v>
      </c>
      <c r="O94" s="54" t="str">
        <f t="shared" si="13"/>
        <v/>
      </c>
      <c r="P94" s="54"/>
      <c r="Q94" s="54"/>
      <c r="R94" s="54">
        <f t="shared" si="14"/>
        <v>0</v>
      </c>
      <c r="S94" s="54">
        <f t="shared" si="14"/>
        <v>0</v>
      </c>
    </row>
    <row r="95" spans="1:19">
      <c r="A95" s="35">
        <v>627</v>
      </c>
      <c r="B95" s="33" t="str">
        <f t="shared" ref="B95:B103" si="16">LEFT(A95,4)</f>
        <v>627</v>
      </c>
      <c r="C95" s="34" t="s">
        <v>1569</v>
      </c>
      <c r="D95" s="941">
        <v>0</v>
      </c>
      <c r="E95" s="941">
        <v>0</v>
      </c>
      <c r="F95" s="941"/>
      <c r="G95" s="941"/>
      <c r="H95" s="941">
        <f t="shared" si="10"/>
        <v>0</v>
      </c>
      <c r="I95" s="941">
        <f t="shared" si="11"/>
        <v>0</v>
      </c>
      <c r="J95" s="941">
        <f>SUMIF(BTDC!$E$8:$E$32,BCDPS!A95,BTDC!$I$8:$I$32)</f>
        <v>0</v>
      </c>
      <c r="K95" s="941">
        <f>SUMIF(BTDC!$F$8:$F$32,BCDPS!B95,BTDC!$I$8:$I$32)</f>
        <v>0</v>
      </c>
      <c r="L95" s="941">
        <f t="shared" si="12"/>
        <v>0</v>
      </c>
      <c r="M95" s="941">
        <f t="shared" si="12"/>
        <v>0</v>
      </c>
      <c r="N95" s="942">
        <f t="shared" si="15"/>
        <v>0</v>
      </c>
      <c r="O95" s="54" t="str">
        <f t="shared" si="13"/>
        <v/>
      </c>
      <c r="P95" s="54"/>
      <c r="Q95" s="54"/>
      <c r="R95" s="54">
        <f t="shared" si="14"/>
        <v>0</v>
      </c>
      <c r="S95" s="54">
        <f t="shared" si="14"/>
        <v>0</v>
      </c>
    </row>
    <row r="96" spans="1:19">
      <c r="A96" s="35">
        <v>632</v>
      </c>
      <c r="B96" s="33" t="str">
        <f t="shared" si="16"/>
        <v>632</v>
      </c>
      <c r="C96" s="34" t="s">
        <v>665</v>
      </c>
      <c r="D96" s="941">
        <v>0</v>
      </c>
      <c r="E96" s="941">
        <v>0</v>
      </c>
      <c r="F96" s="941"/>
      <c r="G96" s="941"/>
      <c r="H96" s="941">
        <f t="shared" si="10"/>
        <v>0</v>
      </c>
      <c r="I96" s="941">
        <f t="shared" si="11"/>
        <v>0</v>
      </c>
      <c r="J96" s="941">
        <f>SUMIF(BTDC!$E$8:$E$32,BCDPS!A96,BTDC!$I$8:$I$32)</f>
        <v>0</v>
      </c>
      <c r="K96" s="941">
        <f>SUMIF(BTDC!$F$8:$F$32,BCDPS!B96,BTDC!$I$8:$I$32)</f>
        <v>0</v>
      </c>
      <c r="L96" s="941">
        <f t="shared" si="12"/>
        <v>0</v>
      </c>
      <c r="M96" s="941">
        <f t="shared" si="12"/>
        <v>0</v>
      </c>
      <c r="N96" s="942">
        <f t="shared" si="15"/>
        <v>0</v>
      </c>
      <c r="O96" s="54" t="str">
        <f t="shared" si="13"/>
        <v/>
      </c>
      <c r="P96" s="54"/>
      <c r="Q96" s="54"/>
      <c r="R96" s="54">
        <f t="shared" si="14"/>
        <v>0</v>
      </c>
      <c r="S96" s="54">
        <f t="shared" si="14"/>
        <v>0</v>
      </c>
    </row>
    <row r="97" spans="1:19">
      <c r="A97" s="35">
        <v>635</v>
      </c>
      <c r="B97" s="33" t="str">
        <f t="shared" si="16"/>
        <v>635</v>
      </c>
      <c r="C97" s="34" t="s">
        <v>670</v>
      </c>
      <c r="D97" s="941">
        <v>0</v>
      </c>
      <c r="E97" s="941">
        <v>0</v>
      </c>
      <c r="F97" s="941"/>
      <c r="G97" s="941"/>
      <c r="H97" s="941">
        <f t="shared" si="10"/>
        <v>0</v>
      </c>
      <c r="I97" s="941">
        <f t="shared" si="11"/>
        <v>0</v>
      </c>
      <c r="J97" s="941">
        <f>SUMIF(BTDC!$E$8:$E$32,BCDPS!A97,BTDC!$I$8:$I$32)</f>
        <v>0</v>
      </c>
      <c r="K97" s="941">
        <f>SUMIF(BTDC!$F$8:$F$32,BCDPS!B97,BTDC!$I$8:$I$32)</f>
        <v>0</v>
      </c>
      <c r="L97" s="941">
        <f t="shared" si="12"/>
        <v>0</v>
      </c>
      <c r="M97" s="941">
        <f t="shared" si="12"/>
        <v>0</v>
      </c>
      <c r="N97" s="942">
        <f t="shared" si="15"/>
        <v>0</v>
      </c>
      <c r="O97" s="54" t="str">
        <f t="shared" si="13"/>
        <v/>
      </c>
      <c r="P97" s="54"/>
      <c r="Q97" s="54"/>
      <c r="R97" s="54">
        <f t="shared" si="14"/>
        <v>0</v>
      </c>
      <c r="S97" s="54">
        <f t="shared" si="14"/>
        <v>0</v>
      </c>
    </row>
    <row r="98" spans="1:19">
      <c r="A98" s="35">
        <v>641</v>
      </c>
      <c r="B98" s="33" t="str">
        <f t="shared" si="16"/>
        <v>641</v>
      </c>
      <c r="C98" s="34" t="s">
        <v>674</v>
      </c>
      <c r="D98" s="941">
        <v>0</v>
      </c>
      <c r="E98" s="941">
        <v>0</v>
      </c>
      <c r="F98" s="941"/>
      <c r="G98" s="941"/>
      <c r="H98" s="941">
        <f t="shared" si="10"/>
        <v>0</v>
      </c>
      <c r="I98" s="941">
        <f t="shared" si="11"/>
        <v>0</v>
      </c>
      <c r="J98" s="941">
        <f>SUMIF(BTDC!$E$8:$E$32,BCDPS!A98,BTDC!$I$8:$I$32)</f>
        <v>0</v>
      </c>
      <c r="K98" s="941">
        <f>SUMIF(BTDC!$F$8:$F$32,BCDPS!B98,BTDC!$I$8:$I$32)</f>
        <v>0</v>
      </c>
      <c r="L98" s="941">
        <f t="shared" si="12"/>
        <v>0</v>
      </c>
      <c r="M98" s="941">
        <f t="shared" si="12"/>
        <v>0</v>
      </c>
      <c r="N98" s="942">
        <f t="shared" si="15"/>
        <v>0</v>
      </c>
      <c r="O98" s="54" t="str">
        <f t="shared" si="13"/>
        <v/>
      </c>
      <c r="P98" s="54"/>
      <c r="Q98" s="54"/>
      <c r="R98" s="54">
        <f t="shared" si="14"/>
        <v>0</v>
      </c>
      <c r="S98" s="54">
        <f t="shared" si="14"/>
        <v>0</v>
      </c>
    </row>
    <row r="99" spans="1:19">
      <c r="A99" s="35">
        <v>642</v>
      </c>
      <c r="B99" s="33" t="str">
        <f t="shared" si="16"/>
        <v>642</v>
      </c>
      <c r="C99" s="34" t="s">
        <v>677</v>
      </c>
      <c r="D99" s="941">
        <v>0</v>
      </c>
      <c r="E99" s="941">
        <v>0</v>
      </c>
      <c r="F99" s="941"/>
      <c r="G99" s="941"/>
      <c r="H99" s="941">
        <f t="shared" si="10"/>
        <v>0</v>
      </c>
      <c r="I99" s="941">
        <f t="shared" si="11"/>
        <v>0</v>
      </c>
      <c r="J99" s="941">
        <f>SUMIF(BTDC!$E$8:$E$32,BCDPS!A99,BTDC!$I$8:$I$32)</f>
        <v>0</v>
      </c>
      <c r="K99" s="941">
        <f>SUMIF(BTDC!$F$8:$F$32,BCDPS!B99,BTDC!$I$8:$I$32)</f>
        <v>0</v>
      </c>
      <c r="L99" s="941">
        <f t="shared" si="12"/>
        <v>0</v>
      </c>
      <c r="M99" s="941">
        <f t="shared" si="12"/>
        <v>0</v>
      </c>
      <c r="N99" s="942">
        <f t="shared" si="15"/>
        <v>0</v>
      </c>
      <c r="O99" s="54" t="str">
        <f t="shared" si="13"/>
        <v/>
      </c>
      <c r="P99" s="54"/>
      <c r="Q99" s="54"/>
      <c r="R99" s="54">
        <f t="shared" si="14"/>
        <v>0</v>
      </c>
      <c r="S99" s="54">
        <f t="shared" si="14"/>
        <v>0</v>
      </c>
    </row>
    <row r="100" spans="1:19">
      <c r="A100" s="35">
        <v>711</v>
      </c>
      <c r="B100" s="33" t="str">
        <f t="shared" si="16"/>
        <v>711</v>
      </c>
      <c r="C100" s="34" t="s">
        <v>681</v>
      </c>
      <c r="D100" s="941">
        <v>0</v>
      </c>
      <c r="E100" s="941">
        <v>0</v>
      </c>
      <c r="F100" s="941"/>
      <c r="G100" s="941"/>
      <c r="H100" s="941">
        <f t="shared" si="10"/>
        <v>0</v>
      </c>
      <c r="I100" s="941">
        <f t="shared" si="11"/>
        <v>0</v>
      </c>
      <c r="J100" s="941">
        <f>SUMIF(BTDC!$E$8:$E$32,BCDPS!A100,BTDC!$I$8:$I$32)</f>
        <v>0</v>
      </c>
      <c r="K100" s="941">
        <f>SUMIF(BTDC!$F$8:$F$32,BCDPS!B100,BTDC!$I$8:$I$32)</f>
        <v>0</v>
      </c>
      <c r="L100" s="941">
        <f t="shared" si="12"/>
        <v>0</v>
      </c>
      <c r="M100" s="941">
        <f t="shared" si="12"/>
        <v>0</v>
      </c>
      <c r="N100" s="942">
        <f>K100-J100</f>
        <v>0</v>
      </c>
      <c r="O100" s="54" t="str">
        <f t="shared" si="13"/>
        <v/>
      </c>
      <c r="P100" s="54"/>
      <c r="Q100" s="54"/>
      <c r="R100" s="54">
        <f t="shared" si="14"/>
        <v>0</v>
      </c>
      <c r="S100" s="54">
        <f t="shared" si="14"/>
        <v>0</v>
      </c>
    </row>
    <row r="101" spans="1:19">
      <c r="A101" s="35">
        <v>811</v>
      </c>
      <c r="B101" s="33" t="str">
        <f t="shared" si="16"/>
        <v>811</v>
      </c>
      <c r="C101" s="34" t="s">
        <v>684</v>
      </c>
      <c r="D101" s="941">
        <v>0</v>
      </c>
      <c r="E101" s="941">
        <v>0</v>
      </c>
      <c r="F101" s="941"/>
      <c r="G101" s="941"/>
      <c r="H101" s="941">
        <f t="shared" si="10"/>
        <v>0</v>
      </c>
      <c r="I101" s="941">
        <f t="shared" si="11"/>
        <v>0</v>
      </c>
      <c r="J101" s="941">
        <f>SUMIF(BTDC!$E$8:$E$32,BCDPS!A101,BTDC!$I$8:$I$32)</f>
        <v>0</v>
      </c>
      <c r="K101" s="941">
        <f>SUMIF(BTDC!$F$8:$F$32,BCDPS!B101,BTDC!$I$8:$I$32)</f>
        <v>0</v>
      </c>
      <c r="L101" s="941">
        <f t="shared" si="12"/>
        <v>0</v>
      </c>
      <c r="M101" s="941">
        <f t="shared" si="12"/>
        <v>0</v>
      </c>
      <c r="N101" s="942">
        <f t="shared" si="15"/>
        <v>0</v>
      </c>
      <c r="O101" s="54" t="str">
        <f t="shared" si="13"/>
        <v/>
      </c>
      <c r="P101" s="54"/>
      <c r="Q101" s="54"/>
      <c r="R101" s="54">
        <f t="shared" si="14"/>
        <v>0</v>
      </c>
      <c r="S101" s="54">
        <f t="shared" si="14"/>
        <v>0</v>
      </c>
    </row>
    <row r="102" spans="1:19">
      <c r="A102" s="35">
        <v>821</v>
      </c>
      <c r="B102" s="33" t="str">
        <f t="shared" si="16"/>
        <v>821</v>
      </c>
      <c r="C102" s="34" t="s">
        <v>254</v>
      </c>
      <c r="D102" s="941">
        <v>0</v>
      </c>
      <c r="E102" s="941">
        <v>0</v>
      </c>
      <c r="F102" s="941"/>
      <c r="G102" s="941"/>
      <c r="H102" s="941">
        <f t="shared" si="10"/>
        <v>0</v>
      </c>
      <c r="I102" s="941">
        <f t="shared" si="11"/>
        <v>0</v>
      </c>
      <c r="J102" s="941">
        <f>SUMIF(BTDC!$E$8:$E$32,BCDPS!A102,BTDC!$I$8:$I$32)</f>
        <v>0</v>
      </c>
      <c r="K102" s="941">
        <f>SUMIF(BTDC!$F$8:$F$32,BCDPS!B102,BTDC!$I$8:$I$32)</f>
        <v>0</v>
      </c>
      <c r="L102" s="941">
        <f t="shared" si="12"/>
        <v>0</v>
      </c>
      <c r="M102" s="941">
        <f t="shared" si="12"/>
        <v>0</v>
      </c>
      <c r="N102" s="942">
        <f>J102-K102</f>
        <v>0</v>
      </c>
      <c r="O102" s="54" t="str">
        <f>IF(OR(J102&lt;&gt;0,K102&lt;&gt;0),"Print","")</f>
        <v/>
      </c>
      <c r="P102" s="54"/>
      <c r="Q102" s="54"/>
      <c r="R102" s="54">
        <f t="shared" si="14"/>
        <v>0</v>
      </c>
      <c r="S102" s="54">
        <f t="shared" si="14"/>
        <v>0</v>
      </c>
    </row>
    <row r="103" spans="1:19">
      <c r="A103" s="35">
        <v>911</v>
      </c>
      <c r="B103" s="33" t="str">
        <f t="shared" si="16"/>
        <v>911</v>
      </c>
      <c r="C103" s="34" t="s">
        <v>1570</v>
      </c>
      <c r="D103" s="941">
        <v>0</v>
      </c>
      <c r="E103" s="941">
        <v>0</v>
      </c>
      <c r="F103" s="941"/>
      <c r="G103" s="941"/>
      <c r="H103" s="941">
        <f t="shared" si="10"/>
        <v>0</v>
      </c>
      <c r="I103" s="941">
        <f t="shared" si="11"/>
        <v>0</v>
      </c>
      <c r="J103" s="941">
        <f>SUMIF(BTDC!$E$8:$E$32,BCDPS!A103,BTDC!$I$8:$I$32)</f>
        <v>0</v>
      </c>
      <c r="K103" s="941">
        <f>SUMIF(BTDC!$F$8:$F$32,BCDPS!B103,BTDC!$I$8:$I$32)</f>
        <v>0</v>
      </c>
      <c r="L103" s="941">
        <f t="shared" si="12"/>
        <v>0</v>
      </c>
      <c r="M103" s="941">
        <f t="shared" si="12"/>
        <v>0</v>
      </c>
      <c r="N103" s="942">
        <f>IF((J103-K103)&lt;0,-(J103-K103),0)</f>
        <v>0</v>
      </c>
      <c r="O103" s="54" t="str">
        <f t="shared" si="13"/>
        <v/>
      </c>
      <c r="P103" s="54"/>
      <c r="Q103" s="54"/>
      <c r="R103" s="54">
        <f t="shared" si="14"/>
        <v>0</v>
      </c>
      <c r="S103" s="54">
        <f t="shared" si="14"/>
        <v>0</v>
      </c>
    </row>
    <row r="104" spans="1:19" ht="15.75">
      <c r="A104" s="38"/>
      <c r="B104" s="38"/>
      <c r="C104" s="39"/>
      <c r="D104" s="946"/>
      <c r="E104" s="946"/>
      <c r="F104" s="946"/>
      <c r="G104" s="946"/>
      <c r="H104" s="946"/>
      <c r="I104" s="946"/>
      <c r="J104" s="941">
        <f>SUMIF(BTDC!$E$8:$E$32,BCDPS!A104,BTDC!$I$8:$I$32)</f>
        <v>0</v>
      </c>
      <c r="K104" s="941">
        <f>SUMIF(BTDC!$F$8:$F$32,BCDPS!B104,BTDC!$I$8:$I$32)</f>
        <v>0</v>
      </c>
      <c r="L104" s="941"/>
      <c r="M104" s="941"/>
      <c r="N104" s="942"/>
      <c r="O104" s="54" t="str">
        <f t="shared" si="13"/>
        <v/>
      </c>
      <c r="P104" s="55"/>
      <c r="Q104" s="55"/>
      <c r="R104" s="54">
        <f t="shared" si="14"/>
        <v>0</v>
      </c>
      <c r="S104" s="54">
        <f t="shared" si="14"/>
        <v>0</v>
      </c>
    </row>
    <row r="105" spans="1:19" ht="15.75">
      <c r="A105" s="40"/>
      <c r="B105" s="40"/>
      <c r="C105" s="41" t="s">
        <v>1571</v>
      </c>
      <c r="D105" s="947">
        <f t="shared" ref="D105:M105" si="17">SUM(D7:D104)</f>
        <v>36590054775</v>
      </c>
      <c r="E105" s="947">
        <f t="shared" si="17"/>
        <v>36590054775</v>
      </c>
      <c r="F105" s="947">
        <f t="shared" si="17"/>
        <v>0</v>
      </c>
      <c r="G105" s="947">
        <f t="shared" si="17"/>
        <v>0</v>
      </c>
      <c r="H105" s="947">
        <f t="shared" si="17"/>
        <v>36590054775</v>
      </c>
      <c r="I105" s="947">
        <f t="shared" si="17"/>
        <v>36590054775</v>
      </c>
      <c r="J105" s="947">
        <f t="shared" si="17"/>
        <v>0</v>
      </c>
      <c r="K105" s="947">
        <f t="shared" si="17"/>
        <v>0</v>
      </c>
      <c r="L105" s="947">
        <f t="shared" si="17"/>
        <v>36590054775</v>
      </c>
      <c r="M105" s="947">
        <f t="shared" si="17"/>
        <v>36590054775</v>
      </c>
      <c r="N105" s="948">
        <f>SUM(N7:N104)</f>
        <v>0</v>
      </c>
      <c r="O105" s="54" t="str">
        <f t="shared" si="13"/>
        <v/>
      </c>
      <c r="P105" s="54"/>
      <c r="Q105" s="54"/>
      <c r="R105" s="54">
        <f t="shared" si="14"/>
        <v>-36590054775</v>
      </c>
      <c r="S105" s="54">
        <f t="shared" si="14"/>
        <v>-36590054775</v>
      </c>
    </row>
    <row r="106" spans="1:19">
      <c r="A106" s="24"/>
      <c r="B106" s="24"/>
      <c r="C106" s="23"/>
      <c r="D106" s="147"/>
      <c r="E106" s="147">
        <f>E105-D105</f>
        <v>0</v>
      </c>
      <c r="F106" s="147"/>
      <c r="G106" s="147">
        <f>G105-F105</f>
        <v>0</v>
      </c>
      <c r="H106" s="147"/>
      <c r="I106" s="147">
        <f>I105-H105</f>
        <v>0</v>
      </c>
      <c r="J106" s="147">
        <f>J105-K105</f>
        <v>0</v>
      </c>
      <c r="K106" s="147">
        <f>K105-J105</f>
        <v>0</v>
      </c>
      <c r="L106" s="147"/>
      <c r="M106" s="147">
        <f>M105-L105</f>
        <v>0</v>
      </c>
      <c r="N106" s="949"/>
      <c r="O106" s="51"/>
      <c r="P106" s="51"/>
      <c r="Q106" s="51"/>
      <c r="R106" s="51"/>
      <c r="S106" s="51"/>
    </row>
    <row r="107" spans="1:19">
      <c r="F107" s="947"/>
      <c r="G107" s="947"/>
    </row>
    <row r="108" spans="1:19">
      <c r="D108" s="839"/>
    </row>
  </sheetData>
  <mergeCells count="11">
    <mergeCell ref="L5:M5"/>
    <mergeCell ref="N5:N6"/>
    <mergeCell ref="A2:M2"/>
    <mergeCell ref="A3:M3"/>
    <mergeCell ref="A5:A6"/>
    <mergeCell ref="B5:B6"/>
    <mergeCell ref="C5:C6"/>
    <mergeCell ref="D5:E5"/>
    <mergeCell ref="F5:G5"/>
    <mergeCell ref="H5:I5"/>
    <mergeCell ref="J5:K5"/>
  </mergeCells>
  <phoneticPr fontId="36" type="noConversion"/>
  <pageMargins left="0.75" right="0.75" top="1" bottom="1" header="0.5" footer="0.5"/>
  <headerFooter alignWithMargins="0"/>
</worksheet>
</file>

<file path=xl/worksheets/sheet50.xml><?xml version="1.0" encoding="utf-8"?>
<worksheet xmlns="http://schemas.openxmlformats.org/spreadsheetml/2006/main" xmlns:r="http://schemas.openxmlformats.org/officeDocument/2006/relationships">
  <sheetPr codeName="Sheet20"/>
  <dimension ref="A1:C35"/>
  <sheetViews>
    <sheetView workbookViewId="0">
      <selection activeCell="C29" sqref="C29"/>
    </sheetView>
  </sheetViews>
  <sheetFormatPr defaultColWidth="8" defaultRowHeight="12.75"/>
  <cols>
    <col min="1" max="1" width="26.125" style="59" customWidth="1"/>
    <col min="2" max="2" width="1.125" style="59" customWidth="1"/>
    <col min="3" max="3" width="28.125" style="59" customWidth="1"/>
    <col min="4" max="16384" width="8" style="59"/>
  </cols>
  <sheetData>
    <row r="1" spans="1:3" ht="13.5" thickBot="1"/>
    <row r="2" spans="1:3" ht="15.75" thickBot="1">
      <c r="A2" s="61"/>
      <c r="C2" s="61"/>
    </row>
    <row r="3" spans="1:3" ht="15">
      <c r="A3" s="61"/>
      <c r="C3" s="61"/>
    </row>
    <row r="4" spans="1:3" ht="15">
      <c r="A4" s="61"/>
      <c r="C4" s="61"/>
    </row>
    <row r="5" spans="1:3" ht="15">
      <c r="A5" s="61"/>
      <c r="C5" s="61"/>
    </row>
    <row r="6" spans="1:3" ht="15.75" thickBot="1">
      <c r="A6" s="61"/>
      <c r="C6" s="61"/>
    </row>
    <row r="7" spans="1:3" ht="15">
      <c r="C7" s="61"/>
    </row>
    <row r="8" spans="1:3" ht="15.75" thickBot="1">
      <c r="C8" s="61"/>
    </row>
    <row r="9" spans="1:3" ht="15.75" thickBot="1">
      <c r="A9" s="61"/>
    </row>
    <row r="10" spans="1:3" ht="15.75" thickBot="1">
      <c r="A10" s="61"/>
      <c r="C10" s="61"/>
    </row>
    <row r="11" spans="1:3" ht="15">
      <c r="A11" s="61"/>
      <c r="C11" s="61"/>
    </row>
    <row r="12" spans="1:3" ht="15">
      <c r="A12" s="61"/>
      <c r="C12" s="61"/>
    </row>
    <row r="13" spans="1:3" ht="15">
      <c r="A13" s="61"/>
      <c r="C13" s="61"/>
    </row>
    <row r="14" spans="1:3" ht="15">
      <c r="A14" s="61"/>
      <c r="C14" s="61"/>
    </row>
    <row r="15" spans="1:3" ht="15">
      <c r="A15" s="61"/>
      <c r="C15" s="61"/>
    </row>
    <row r="16" spans="1:3" ht="15">
      <c r="A16" s="61"/>
      <c r="C16" s="61"/>
    </row>
    <row r="17" spans="1:3" ht="15">
      <c r="A17" s="61"/>
      <c r="C17" s="61"/>
    </row>
    <row r="18" spans="1:3" ht="15">
      <c r="A18" s="61"/>
      <c r="C18" s="61"/>
    </row>
    <row r="19" spans="1:3" ht="15">
      <c r="A19" s="61"/>
      <c r="C19" s="61"/>
    </row>
    <row r="20" spans="1:3" ht="15.75" thickBot="1">
      <c r="A20" s="61"/>
      <c r="C20" s="61"/>
    </row>
    <row r="21" spans="1:3" ht="15.75" thickBot="1">
      <c r="A21" s="61"/>
    </row>
    <row r="22" spans="1:3" ht="15.75" thickBot="1">
      <c r="A22" s="61"/>
      <c r="C22" s="61"/>
    </row>
    <row r="23" spans="1:3" ht="15">
      <c r="A23" s="61"/>
      <c r="C23" s="61"/>
    </row>
    <row r="24" spans="1:3" ht="15">
      <c r="A24" s="61"/>
      <c r="C24" s="61"/>
    </row>
    <row r="25" spans="1:3" ht="15">
      <c r="A25" s="61"/>
      <c r="C25" s="61"/>
    </row>
    <row r="26" spans="1:3" ht="15">
      <c r="A26" s="61"/>
      <c r="C26" s="61"/>
    </row>
    <row r="27" spans="1:3" ht="15">
      <c r="A27" s="61"/>
      <c r="C27" s="61"/>
    </row>
    <row r="28" spans="1:3" ht="15">
      <c r="A28" s="61"/>
      <c r="C28" s="61"/>
    </row>
    <row r="29" spans="1:3" ht="15">
      <c r="A29" s="61"/>
      <c r="C29" s="61"/>
    </row>
    <row r="30" spans="1:3" ht="15.75" thickBot="1">
      <c r="A30" s="61"/>
      <c r="C30" s="61"/>
    </row>
    <row r="31" spans="1:3" ht="15">
      <c r="C31" s="61"/>
    </row>
    <row r="32" spans="1:3" ht="15.75" thickBot="1">
      <c r="C32" s="61"/>
    </row>
    <row r="33" spans="1:3" ht="15">
      <c r="A33" s="61"/>
      <c r="C33" s="61"/>
    </row>
    <row r="34" spans="1:3" ht="15">
      <c r="A34" s="61"/>
      <c r="C34" s="61"/>
    </row>
    <row r="35" spans="1:3" ht="15.75" thickBot="1">
      <c r="A35" s="61"/>
      <c r="C35" s="61"/>
    </row>
  </sheetData>
  <sheetProtection password="CFB0" sheet="1" objects="1"/>
  <phoneticPr fontId="14" type="noConversion"/>
  <pageMargins left="0.75" right="0.75" top="0.41" bottom="0.5" header="0.22" footer="0.27"/>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sheetPr codeName="Sheet7" enableFormatConditionsCalculation="0">
    <tabColor indexed="10"/>
  </sheetPr>
  <dimension ref="A1:M84"/>
  <sheetViews>
    <sheetView topLeftCell="B1" workbookViewId="0">
      <pane xSplit="2" ySplit="7" topLeftCell="D8" activePane="bottomRight" state="frozen"/>
      <selection activeCell="B72" sqref="B72"/>
      <selection pane="topRight" activeCell="B72" sqref="B72"/>
      <selection pane="bottomLeft" activeCell="B72" sqref="B72"/>
      <selection pane="bottomRight" activeCell="F8" sqref="F8"/>
    </sheetView>
  </sheetViews>
  <sheetFormatPr defaultRowHeight="15"/>
  <cols>
    <col min="1" max="1" width="7.625" style="3" hidden="1" customWidth="1"/>
    <col min="2" max="2" width="4.375" style="3" customWidth="1"/>
    <col min="3" max="3" width="8.375" style="13" hidden="1" customWidth="1"/>
    <col min="4" max="4" width="46.125" style="6" customWidth="1"/>
    <col min="5" max="6" width="6.5" style="7" customWidth="1"/>
    <col min="7" max="8" width="6.75" style="924" customWidth="1"/>
    <col min="9" max="9" width="14.75" style="8" bestFit="1" customWidth="1"/>
    <col min="10" max="10" width="16.875" style="9" hidden="1" customWidth="1"/>
    <col min="11" max="11" width="16.375" style="112" customWidth="1"/>
    <col min="12" max="12" width="14.5" style="123" customWidth="1"/>
    <col min="13" max="13" width="15.625" style="114" customWidth="1"/>
    <col min="14" max="14" width="12.375" style="123" bestFit="1" customWidth="1"/>
    <col min="15" max="16384" width="9" style="123"/>
  </cols>
  <sheetData>
    <row r="1" spans="1:13" ht="15.75">
      <c r="B1" s="4" t="str">
        <f>BS!$A$1</f>
        <v>C«ng ty Cæ phÇn §Çu t­ &amp; Th­¬ng m¹i DÇu KhÝ S«ng §µ</v>
      </c>
      <c r="C1" s="5"/>
      <c r="K1" s="115" t="s">
        <v>1527</v>
      </c>
    </row>
    <row r="2" spans="1:13" ht="16.5" customHeight="1">
      <c r="A2" s="11"/>
      <c r="B2" s="11"/>
      <c r="C2" s="5"/>
      <c r="K2" s="115"/>
    </row>
    <row r="3" spans="1:13" ht="27.75" customHeight="1">
      <c r="A3" s="6"/>
      <c r="B3" s="1585" t="s">
        <v>924</v>
      </c>
      <c r="C3" s="1585"/>
      <c r="D3" s="1585"/>
      <c r="E3" s="1585"/>
      <c r="F3" s="1585"/>
      <c r="G3" s="1585"/>
      <c r="H3" s="1585"/>
      <c r="I3" s="1585"/>
      <c r="J3" s="1585"/>
      <c r="K3" s="1585"/>
    </row>
    <row r="4" spans="1:13" ht="6.75" customHeight="1">
      <c r="A4" s="12"/>
      <c r="B4" s="1586"/>
      <c r="C4" s="1586"/>
      <c r="D4" s="1586"/>
      <c r="E4" s="1586"/>
      <c r="F4" s="1586"/>
      <c r="G4" s="1586"/>
      <c r="H4" s="1586"/>
      <c r="I4" s="1586"/>
      <c r="J4" s="1586"/>
      <c r="K4" s="1586"/>
    </row>
    <row r="5" spans="1:13">
      <c r="D5" s="12"/>
      <c r="E5" s="3"/>
      <c r="F5" s="3"/>
    </row>
    <row r="6" spans="1:13" s="281" customFormat="1" ht="18" customHeight="1">
      <c r="A6" s="14" t="s">
        <v>1324</v>
      </c>
      <c r="B6" s="1593" t="s">
        <v>1324</v>
      </c>
      <c r="C6" s="15" t="s">
        <v>1325</v>
      </c>
      <c r="D6" s="1595" t="s">
        <v>1326</v>
      </c>
      <c r="E6" s="1589" t="s">
        <v>1270</v>
      </c>
      <c r="F6" s="1590"/>
      <c r="G6" s="1591" t="s">
        <v>1525</v>
      </c>
      <c r="H6" s="1592"/>
      <c r="I6" s="56" t="s">
        <v>1327</v>
      </c>
      <c r="J6" s="16" t="s">
        <v>1328</v>
      </c>
      <c r="K6" s="1587" t="s">
        <v>253</v>
      </c>
      <c r="M6" s="372"/>
    </row>
    <row r="7" spans="1:13" s="282" customFormat="1" ht="16.5">
      <c r="A7" s="17"/>
      <c r="B7" s="1594"/>
      <c r="C7" s="18"/>
      <c r="D7" s="1596"/>
      <c r="E7" s="19" t="s">
        <v>1329</v>
      </c>
      <c r="F7" s="19" t="s">
        <v>1330</v>
      </c>
      <c r="G7" s="1038" t="s">
        <v>1329</v>
      </c>
      <c r="H7" s="1038" t="s">
        <v>1330</v>
      </c>
      <c r="I7" s="57"/>
      <c r="J7" s="20" t="s">
        <v>1503</v>
      </c>
      <c r="K7" s="1588"/>
      <c r="M7" s="373"/>
    </row>
    <row r="8" spans="1:13" s="354" customFormat="1" ht="16.5" customHeight="1">
      <c r="A8" s="350" t="s">
        <v>1331</v>
      </c>
      <c r="B8" s="835"/>
      <c r="C8" s="351"/>
      <c r="D8" s="950"/>
      <c r="E8" s="35"/>
      <c r="F8" s="35"/>
      <c r="G8" s="929"/>
      <c r="H8" s="459"/>
      <c r="I8" s="931"/>
      <c r="J8" s="352"/>
      <c r="K8" s="353"/>
      <c r="L8" s="931"/>
      <c r="M8" s="374"/>
    </row>
    <row r="9" spans="1:13" s="359" customFormat="1" ht="14.25">
      <c r="A9" s="355"/>
      <c r="B9" s="356"/>
      <c r="C9" s="360"/>
      <c r="D9" s="357"/>
      <c r="E9" s="358"/>
      <c r="F9" s="358"/>
      <c r="G9" s="361"/>
      <c r="H9" s="929"/>
      <c r="I9" s="349"/>
      <c r="J9" s="362"/>
      <c r="K9" s="994"/>
      <c r="M9" s="363"/>
    </row>
    <row r="10" spans="1:13" s="359" customFormat="1" ht="14.25">
      <c r="A10" s="355"/>
      <c r="B10" s="356"/>
      <c r="C10" s="360"/>
      <c r="D10" s="357"/>
      <c r="E10" s="358"/>
      <c r="F10" s="358"/>
      <c r="G10" s="361"/>
      <c r="H10" s="929"/>
      <c r="I10" s="349"/>
      <c r="J10" s="362"/>
      <c r="K10" s="994"/>
      <c r="M10" s="363"/>
    </row>
    <row r="11" spans="1:13" s="359" customFormat="1" ht="14.25">
      <c r="A11" s="355"/>
      <c r="B11" s="356"/>
      <c r="C11" s="360"/>
      <c r="D11" s="357"/>
      <c r="E11" s="358"/>
      <c r="F11" s="358"/>
      <c r="G11" s="361"/>
      <c r="H11" s="929"/>
      <c r="I11" s="349"/>
      <c r="J11" s="362"/>
      <c r="K11" s="994"/>
      <c r="M11" s="363"/>
    </row>
    <row r="12" spans="1:13" s="359" customFormat="1" ht="14.25">
      <c r="A12" s="355"/>
      <c r="B12" s="356"/>
      <c r="C12" s="360"/>
      <c r="D12" s="1354"/>
      <c r="E12" s="358"/>
      <c r="F12" s="358"/>
      <c r="G12" s="361"/>
      <c r="H12" s="929"/>
      <c r="I12" s="349"/>
      <c r="J12" s="362"/>
      <c r="K12" s="994"/>
      <c r="M12" s="363"/>
    </row>
    <row r="13" spans="1:13" s="359" customFormat="1" ht="14.25">
      <c r="A13" s="355"/>
      <c r="B13" s="356"/>
      <c r="C13" s="360"/>
      <c r="D13" s="1354"/>
      <c r="E13" s="358"/>
      <c r="F13" s="358"/>
      <c r="G13" s="1353"/>
      <c r="H13" s="929"/>
      <c r="I13" s="349"/>
      <c r="J13" s="362"/>
      <c r="K13" s="994"/>
      <c r="M13" s="363"/>
    </row>
    <row r="14" spans="1:13" s="359" customFormat="1" ht="14.25">
      <c r="A14" s="355"/>
      <c r="B14" s="356"/>
      <c r="C14" s="360"/>
      <c r="D14" s="1354"/>
      <c r="E14" s="358"/>
      <c r="F14" s="358"/>
      <c r="G14" s="1353"/>
      <c r="H14" s="929"/>
      <c r="I14" s="349"/>
      <c r="J14" s="362"/>
      <c r="K14" s="994"/>
      <c r="M14" s="363"/>
    </row>
    <row r="15" spans="1:13" s="359" customFormat="1" ht="14.25">
      <c r="A15" s="355"/>
      <c r="B15" s="356"/>
      <c r="C15" s="360"/>
      <c r="D15" s="357"/>
      <c r="E15" s="358"/>
      <c r="F15" s="358"/>
      <c r="G15" s="361"/>
      <c r="H15" s="929"/>
      <c r="I15" s="349"/>
      <c r="J15" s="362"/>
      <c r="K15" s="994"/>
      <c r="M15" s="363"/>
    </row>
    <row r="16" spans="1:13" s="359" customFormat="1" ht="14.25">
      <c r="A16" s="355"/>
      <c r="B16" s="356"/>
      <c r="C16" s="360"/>
      <c r="D16" s="357"/>
      <c r="E16" s="358"/>
      <c r="F16" s="358"/>
      <c r="G16" s="361"/>
      <c r="H16" s="929"/>
      <c r="I16" s="349"/>
      <c r="J16" s="362"/>
      <c r="K16" s="994"/>
      <c r="M16" s="363"/>
    </row>
    <row r="17" spans="1:13" s="359" customFormat="1" ht="14.25">
      <c r="A17" s="355"/>
      <c r="B17" s="356"/>
      <c r="C17" s="360"/>
      <c r="D17" s="357"/>
      <c r="E17" s="358"/>
      <c r="F17" s="358"/>
      <c r="G17" s="361"/>
      <c r="H17" s="929"/>
      <c r="I17" s="349"/>
      <c r="J17" s="362"/>
      <c r="K17" s="994"/>
      <c r="M17" s="363"/>
    </row>
    <row r="18" spans="1:13" s="359" customFormat="1" ht="14.25">
      <c r="A18" s="355"/>
      <c r="B18" s="356"/>
      <c r="C18" s="360"/>
      <c r="D18" s="357"/>
      <c r="E18" s="358"/>
      <c r="F18" s="358"/>
      <c r="G18" s="361"/>
      <c r="H18" s="929"/>
      <c r="I18" s="349"/>
      <c r="J18" s="362"/>
      <c r="K18" s="994"/>
      <c r="M18" s="363"/>
    </row>
    <row r="19" spans="1:13" s="359" customFormat="1" ht="14.25">
      <c r="A19" s="355"/>
      <c r="B19" s="356"/>
      <c r="C19" s="360"/>
      <c r="D19" s="357"/>
      <c r="E19" s="358"/>
      <c r="F19" s="358"/>
      <c r="G19" s="361"/>
      <c r="H19" s="929"/>
      <c r="I19" s="349"/>
      <c r="J19" s="362"/>
      <c r="K19" s="349"/>
      <c r="M19" s="363"/>
    </row>
    <row r="20" spans="1:13" s="359" customFormat="1" ht="14.25">
      <c r="A20" s="355"/>
      <c r="B20" s="356"/>
      <c r="C20" s="360"/>
      <c r="D20" s="357"/>
      <c r="E20" s="358"/>
      <c r="F20" s="358"/>
      <c r="G20" s="361"/>
      <c r="H20" s="929"/>
      <c r="I20" s="349"/>
      <c r="J20" s="362"/>
      <c r="K20" s="349"/>
      <c r="M20" s="363"/>
    </row>
    <row r="21" spans="1:13" s="359" customFormat="1" ht="14.25">
      <c r="A21" s="355"/>
      <c r="B21" s="356"/>
      <c r="C21" s="360"/>
      <c r="D21" s="357"/>
      <c r="E21" s="358"/>
      <c r="F21" s="358"/>
      <c r="G21" s="361"/>
      <c r="H21" s="929"/>
      <c r="I21" s="349"/>
      <c r="J21" s="362"/>
      <c r="K21" s="994"/>
      <c r="M21" s="363"/>
    </row>
    <row r="22" spans="1:13" s="359" customFormat="1" ht="14.25">
      <c r="A22" s="355"/>
      <c r="B22" s="356"/>
      <c r="C22" s="360"/>
      <c r="D22" s="357"/>
      <c r="E22" s="358"/>
      <c r="F22" s="358"/>
      <c r="G22" s="361"/>
      <c r="H22" s="929"/>
      <c r="I22" s="349"/>
      <c r="J22" s="362"/>
      <c r="K22" s="994"/>
      <c r="M22" s="363"/>
    </row>
    <row r="23" spans="1:13" s="359" customFormat="1" ht="14.25">
      <c r="A23" s="355"/>
      <c r="B23" s="356"/>
      <c r="C23" s="360"/>
      <c r="D23" s="357"/>
      <c r="E23" s="358"/>
      <c r="F23" s="358"/>
      <c r="G23" s="361"/>
      <c r="H23" s="929"/>
      <c r="I23" s="349"/>
      <c r="J23" s="362"/>
      <c r="K23" s="994"/>
      <c r="M23" s="363"/>
    </row>
    <row r="24" spans="1:13" s="359" customFormat="1" ht="14.25">
      <c r="A24" s="355"/>
      <c r="B24" s="356"/>
      <c r="C24" s="360"/>
      <c r="D24" s="357"/>
      <c r="E24" s="358"/>
      <c r="F24" s="358"/>
      <c r="G24" s="361"/>
      <c r="H24" s="929"/>
      <c r="I24" s="349"/>
      <c r="J24" s="362"/>
      <c r="K24" s="994"/>
      <c r="M24" s="363"/>
    </row>
    <row r="25" spans="1:13" s="359" customFormat="1" ht="14.25">
      <c r="A25" s="355"/>
      <c r="B25" s="356"/>
      <c r="C25" s="360"/>
      <c r="D25" s="357"/>
      <c r="E25" s="358"/>
      <c r="F25" s="358"/>
      <c r="G25" s="361"/>
      <c r="H25" s="929"/>
      <c r="I25" s="349"/>
      <c r="J25" s="362"/>
      <c r="K25" s="994"/>
      <c r="M25" s="363"/>
    </row>
    <row r="26" spans="1:13" s="359" customFormat="1" ht="14.25">
      <c r="A26" s="355"/>
      <c r="B26" s="356"/>
      <c r="C26" s="360"/>
      <c r="D26" s="357"/>
      <c r="E26" s="358"/>
      <c r="F26" s="358"/>
      <c r="G26" s="361"/>
      <c r="H26" s="929"/>
      <c r="I26" s="349"/>
      <c r="J26" s="362"/>
      <c r="K26" s="994"/>
      <c r="M26" s="363"/>
    </row>
    <row r="27" spans="1:13" s="359" customFormat="1" ht="14.25">
      <c r="A27" s="355"/>
      <c r="B27" s="356"/>
      <c r="C27" s="360"/>
      <c r="D27" s="357"/>
      <c r="E27" s="358"/>
      <c r="F27" s="358"/>
      <c r="G27" s="361"/>
      <c r="H27" s="929"/>
      <c r="I27" s="349"/>
      <c r="J27" s="362"/>
      <c r="K27" s="994"/>
      <c r="M27" s="363"/>
    </row>
    <row r="28" spans="1:13" s="359" customFormat="1">
      <c r="A28" s="355"/>
      <c r="B28" s="356"/>
      <c r="C28" s="360"/>
      <c r="D28" s="357"/>
      <c r="E28" s="358"/>
      <c r="F28" s="358"/>
      <c r="G28" s="361"/>
      <c r="H28" s="358"/>
      <c r="I28" s="932"/>
      <c r="J28" s="362"/>
      <c r="K28" s="932"/>
      <c r="M28" s="363"/>
    </row>
    <row r="29" spans="1:13" s="359" customFormat="1" ht="14.25">
      <c r="A29" s="364"/>
      <c r="B29" s="880"/>
      <c r="C29" s="881"/>
      <c r="D29" s="836"/>
      <c r="E29" s="882"/>
      <c r="F29" s="882"/>
      <c r="G29" s="929"/>
      <c r="H29" s="358"/>
      <c r="I29" s="933"/>
      <c r="J29" s="883"/>
      <c r="K29" s="884"/>
      <c r="M29" s="363"/>
    </row>
    <row r="30" spans="1:13" s="359" customFormat="1" ht="14.25">
      <c r="A30" s="364"/>
      <c r="B30" s="880"/>
      <c r="C30" s="881"/>
      <c r="D30" s="836"/>
      <c r="E30" s="882"/>
      <c r="F30" s="882"/>
      <c r="G30" s="929"/>
      <c r="H30" s="358"/>
      <c r="I30" s="933"/>
      <c r="J30" s="883"/>
      <c r="K30" s="884"/>
      <c r="M30" s="363"/>
    </row>
    <row r="31" spans="1:13" s="359" customFormat="1">
      <c r="A31" s="364"/>
      <c r="B31" s="880"/>
      <c r="C31" s="881"/>
      <c r="D31" s="836"/>
      <c r="E31" s="882"/>
      <c r="F31" s="882"/>
      <c r="G31" s="930"/>
      <c r="H31" s="929"/>
      <c r="I31" s="934"/>
      <c r="J31" s="883"/>
      <c r="K31" s="884"/>
      <c r="M31" s="363"/>
    </row>
    <row r="32" spans="1:13" s="359" customFormat="1" ht="16.5" customHeight="1">
      <c r="A32" s="364"/>
      <c r="B32" s="365"/>
      <c r="C32" s="366"/>
      <c r="D32" s="367"/>
      <c r="E32" s="368"/>
      <c r="F32" s="368"/>
      <c r="G32" s="369"/>
      <c r="H32" s="935"/>
      <c r="I32" s="370"/>
      <c r="J32" s="367"/>
      <c r="K32" s="371"/>
      <c r="M32" s="363"/>
    </row>
    <row r="33" spans="1:11">
      <c r="A33" s="124" t="s">
        <v>671</v>
      </c>
      <c r="B33" s="124"/>
      <c r="C33" s="125"/>
      <c r="D33" s="126"/>
      <c r="E33" s="127" t="str">
        <f t="shared" ref="E33:E42" si="0">RIGHT(G33,3)</f>
        <v/>
      </c>
      <c r="F33" s="127"/>
      <c r="G33" s="128"/>
      <c r="H33" s="129"/>
      <c r="I33" s="114"/>
      <c r="J33" s="126"/>
      <c r="K33" s="130"/>
    </row>
    <row r="34" spans="1:11">
      <c r="A34" s="124" t="s">
        <v>682</v>
      </c>
      <c r="B34" s="124"/>
      <c r="C34" s="125"/>
      <c r="D34" s="131"/>
      <c r="E34" s="127"/>
      <c r="F34" s="127"/>
      <c r="G34" s="128"/>
      <c r="H34" s="129"/>
      <c r="I34" s="114"/>
      <c r="J34" s="126"/>
      <c r="K34" s="130"/>
    </row>
    <row r="35" spans="1:11">
      <c r="A35" s="124" t="s">
        <v>672</v>
      </c>
      <c r="B35" s="124"/>
      <c r="C35" s="125"/>
      <c r="D35" s="126"/>
      <c r="E35" s="127" t="str">
        <f t="shared" si="0"/>
        <v/>
      </c>
      <c r="F35" s="127" t="str">
        <f t="shared" ref="F35:F42" si="1">RIGHT(H35,3)</f>
        <v/>
      </c>
      <c r="G35" s="127"/>
      <c r="H35" s="127"/>
      <c r="I35" s="114"/>
      <c r="J35" s="126"/>
      <c r="K35" s="130"/>
    </row>
    <row r="36" spans="1:11" ht="15" customHeight="1">
      <c r="A36" s="124"/>
      <c r="B36" s="1583" t="s">
        <v>943</v>
      </c>
      <c r="C36" s="1583"/>
      <c r="D36" s="1583"/>
      <c r="E36" s="1583"/>
      <c r="F36" s="1583"/>
      <c r="G36" s="1583"/>
      <c r="H36" s="1583"/>
      <c r="I36" s="1583"/>
      <c r="J36" s="1583"/>
      <c r="K36" s="1583"/>
    </row>
    <row r="37" spans="1:11" ht="15.75">
      <c r="A37" s="124"/>
      <c r="B37" s="124"/>
      <c r="C37" s="125"/>
      <c r="D37" s="126"/>
      <c r="E37" s="127" t="str">
        <f t="shared" si="0"/>
        <v/>
      </c>
      <c r="F37" s="127" t="str">
        <f t="shared" si="1"/>
        <v/>
      </c>
      <c r="G37" s="127"/>
      <c r="H37" s="127"/>
      <c r="I37" s="1584" t="s">
        <v>546</v>
      </c>
      <c r="J37" s="1584"/>
      <c r="K37" s="1584"/>
    </row>
    <row r="38" spans="1:11">
      <c r="A38" s="124"/>
      <c r="B38" s="124"/>
      <c r="C38" s="125"/>
      <c r="D38" s="126"/>
      <c r="E38" s="127" t="str">
        <f t="shared" si="0"/>
        <v/>
      </c>
      <c r="F38" s="127" t="str">
        <f t="shared" si="1"/>
        <v/>
      </c>
      <c r="G38" s="127"/>
      <c r="H38" s="127"/>
      <c r="I38" s="114"/>
      <c r="J38" s="126"/>
      <c r="K38" s="130"/>
    </row>
    <row r="39" spans="1:11">
      <c r="A39" s="124"/>
      <c r="B39" s="124"/>
      <c r="C39" s="125"/>
      <c r="D39" s="126"/>
      <c r="E39" s="127" t="str">
        <f t="shared" si="0"/>
        <v/>
      </c>
      <c r="F39" s="127" t="str">
        <f t="shared" si="1"/>
        <v/>
      </c>
      <c r="G39" s="127"/>
      <c r="H39" s="127"/>
      <c r="I39" s="114"/>
      <c r="J39" s="126"/>
      <c r="K39" s="130"/>
    </row>
    <row r="40" spans="1:11">
      <c r="A40" s="124"/>
      <c r="B40" s="124"/>
      <c r="C40" s="125"/>
      <c r="D40" s="126"/>
      <c r="E40" s="127" t="str">
        <f t="shared" si="0"/>
        <v/>
      </c>
      <c r="F40" s="127" t="str">
        <f t="shared" si="1"/>
        <v/>
      </c>
      <c r="G40" s="128"/>
      <c r="H40" s="127"/>
      <c r="I40" s="114"/>
      <c r="J40" s="126"/>
      <c r="K40" s="130"/>
    </row>
    <row r="41" spans="1:11" ht="14.25" customHeight="1">
      <c r="A41" s="124" t="s">
        <v>685</v>
      </c>
      <c r="B41" s="124"/>
      <c r="C41" s="125"/>
      <c r="D41" s="126"/>
      <c r="E41" s="127" t="str">
        <f t="shared" si="0"/>
        <v/>
      </c>
      <c r="F41" s="127" t="str">
        <f t="shared" si="1"/>
        <v/>
      </c>
      <c r="G41" s="129"/>
      <c r="H41" s="132"/>
      <c r="I41" s="114"/>
      <c r="J41" s="126"/>
      <c r="K41" s="130"/>
    </row>
    <row r="42" spans="1:11" ht="14.25" customHeight="1">
      <c r="A42" s="124"/>
      <c r="B42" s="124"/>
      <c r="C42" s="125"/>
      <c r="D42" s="126"/>
      <c r="E42" s="127" t="str">
        <f t="shared" si="0"/>
        <v/>
      </c>
      <c r="F42" s="127" t="str">
        <f t="shared" si="1"/>
        <v/>
      </c>
      <c r="G42" s="129"/>
      <c r="H42" s="132"/>
      <c r="I42" s="114"/>
      <c r="J42" s="133"/>
      <c r="K42" s="134"/>
    </row>
    <row r="43" spans="1:11" ht="15.75">
      <c r="A43" s="124"/>
      <c r="B43" s="124"/>
      <c r="C43" s="125"/>
      <c r="D43" s="135"/>
      <c r="E43" s="127"/>
      <c r="F43" s="127"/>
      <c r="G43" s="127"/>
      <c r="H43" s="127"/>
      <c r="I43" s="114"/>
      <c r="J43" s="133"/>
      <c r="K43" s="134"/>
    </row>
    <row r="44" spans="1:11" ht="15.75">
      <c r="A44" s="124"/>
      <c r="B44" s="124"/>
      <c r="C44" s="125"/>
      <c r="D44" s="123"/>
      <c r="E44" s="127"/>
      <c r="F44" s="127"/>
      <c r="G44" s="127"/>
      <c r="H44" s="127"/>
      <c r="I44" s="1584" t="s">
        <v>558</v>
      </c>
      <c r="J44" s="1584"/>
      <c r="K44" s="1584"/>
    </row>
    <row r="45" spans="1:11">
      <c r="A45" s="136"/>
      <c r="B45" s="136"/>
      <c r="C45" s="137"/>
      <c r="D45" s="10"/>
      <c r="E45" s="119"/>
      <c r="F45" s="119"/>
      <c r="G45" s="127"/>
      <c r="H45" s="127"/>
      <c r="I45" s="111"/>
      <c r="J45" s="138"/>
      <c r="K45" s="122"/>
    </row>
    <row r="50" spans="9:9">
      <c r="I50" s="111"/>
    </row>
    <row r="51" spans="9:9">
      <c r="I51" s="111"/>
    </row>
    <row r="52" spans="9:9">
      <c r="I52" s="111"/>
    </row>
    <row r="53" spans="9:9">
      <c r="I53" s="143"/>
    </row>
    <row r="54" spans="9:9">
      <c r="I54" s="143"/>
    </row>
    <row r="55" spans="9:9">
      <c r="I55" s="143"/>
    </row>
    <row r="56" spans="9:9">
      <c r="I56" s="143"/>
    </row>
    <row r="57" spans="9:9">
      <c r="I57" s="143"/>
    </row>
    <row r="58" spans="9:9">
      <c r="I58" s="143"/>
    </row>
    <row r="59" spans="9:9">
      <c r="I59" s="143"/>
    </row>
    <row r="60" spans="9:9">
      <c r="I60" s="143"/>
    </row>
    <row r="61" spans="9:9">
      <c r="I61" s="111"/>
    </row>
    <row r="62" spans="9:9">
      <c r="I62" s="111"/>
    </row>
    <row r="63" spans="9:9">
      <c r="I63" s="111"/>
    </row>
    <row r="64" spans="9:9">
      <c r="I64" s="111"/>
    </row>
    <row r="75" spans="9:9">
      <c r="I75" s="143"/>
    </row>
    <row r="76" spans="9:9">
      <c r="I76" s="143"/>
    </row>
    <row r="77" spans="9:9">
      <c r="I77" s="143"/>
    </row>
    <row r="78" spans="9:9">
      <c r="I78" s="143"/>
    </row>
    <row r="79" spans="9:9">
      <c r="I79" s="143"/>
    </row>
    <row r="80" spans="9:9">
      <c r="I80" s="143"/>
    </row>
    <row r="81" spans="9:9">
      <c r="I81" s="143"/>
    </row>
    <row r="82" spans="9:9">
      <c r="I82" s="143"/>
    </row>
    <row r="83" spans="9:9">
      <c r="I83" s="143"/>
    </row>
    <row r="84" spans="9:9" ht="15.75">
      <c r="I84" s="144"/>
    </row>
  </sheetData>
  <autoFilter ref="A7:N18"/>
  <mergeCells count="10">
    <mergeCell ref="B36:K36"/>
    <mergeCell ref="I37:K37"/>
    <mergeCell ref="I44:K44"/>
    <mergeCell ref="B3:K3"/>
    <mergeCell ref="B4:K4"/>
    <mergeCell ref="K6:K7"/>
    <mergeCell ref="E6:F6"/>
    <mergeCell ref="G6:H6"/>
    <mergeCell ref="B6:B7"/>
    <mergeCell ref="D6:D7"/>
  </mergeCells>
  <phoneticPr fontId="0" type="noConversion"/>
  <printOptions horizontalCentered="1"/>
  <pageMargins left="0.3" right="0.3" top="0.5" bottom="0.5" header="0.25" footer="0.25"/>
  <pageSetup paperSize="9" firstPageNumber="4" orientation="landscape" useFirstPageNumber="1" r:id="rId1"/>
  <headerFooter alignWithMargins="0"/>
</worksheet>
</file>

<file path=xl/worksheets/sheet7.xml><?xml version="1.0" encoding="utf-8"?>
<worksheet xmlns="http://schemas.openxmlformats.org/spreadsheetml/2006/main" xmlns:r="http://schemas.openxmlformats.org/officeDocument/2006/relationships">
  <sheetPr codeName="Sheet6" enableFormatConditionsCalculation="0">
    <tabColor indexed="10"/>
  </sheetPr>
  <dimension ref="A1:N112"/>
  <sheetViews>
    <sheetView workbookViewId="0">
      <pane xSplit="3" ySplit="6" topLeftCell="D79" activePane="bottomRight" state="frozen"/>
      <selection activeCell="B72" sqref="B72"/>
      <selection pane="topRight" activeCell="B72" sqref="B72"/>
      <selection pane="bottomLeft" activeCell="B72" sqref="B72"/>
      <selection pane="bottomRight" activeCell="A96" sqref="A96"/>
    </sheetView>
  </sheetViews>
  <sheetFormatPr defaultRowHeight="15"/>
  <cols>
    <col min="1" max="1" width="7.625" style="24" customWidth="1"/>
    <col min="2" max="2" width="6.25" style="24" bestFit="1" customWidth="1"/>
    <col min="3" max="3" width="34.125" style="23" bestFit="1" customWidth="1"/>
    <col min="4" max="4" width="18" style="43" customWidth="1"/>
    <col min="5" max="5" width="18.375" style="43" customWidth="1"/>
    <col min="6" max="6" width="18.5" style="43" customWidth="1"/>
    <col min="7" max="7" width="6.625" style="51" customWidth="1"/>
    <col min="8" max="8" width="12.125" style="51" bestFit="1" customWidth="1"/>
    <col min="9" max="14" width="9" style="51"/>
    <col min="15" max="16384" width="9" style="23"/>
  </cols>
  <sheetData>
    <row r="1" spans="1:14" ht="16.5">
      <c r="A1" s="42" t="str">
        <f>BTDC!B1</f>
        <v>C«ng ty Cæ phÇn §Çu t­ &amp; Th­¬ng m¹i DÇu KhÝ S«ng §µ</v>
      </c>
      <c r="B1" s="21"/>
      <c r="C1" s="22"/>
      <c r="F1" s="58" t="s">
        <v>1502</v>
      </c>
    </row>
    <row r="2" spans="1:14" ht="27" customHeight="1">
      <c r="A2" s="1597" t="s">
        <v>1501</v>
      </c>
      <c r="B2" s="1597"/>
      <c r="C2" s="1597"/>
      <c r="D2" s="1597"/>
      <c r="E2" s="1597"/>
      <c r="F2" s="1597"/>
    </row>
    <row r="3" spans="1:14" ht="16.5" customHeight="1">
      <c r="A3" s="1577" t="s">
        <v>499</v>
      </c>
      <c r="B3" s="1577"/>
      <c r="C3" s="1577"/>
      <c r="D3" s="1577"/>
      <c r="E3" s="1577"/>
      <c r="F3" s="1577"/>
    </row>
    <row r="4" spans="1:14" ht="15.75">
      <c r="F4" s="44" t="s">
        <v>257</v>
      </c>
    </row>
    <row r="5" spans="1:14" s="25" customFormat="1" ht="15.75" customHeight="1">
      <c r="A5" s="1578" t="s">
        <v>1488</v>
      </c>
      <c r="B5" s="1579" t="s">
        <v>1525</v>
      </c>
      <c r="C5" s="1581" t="s">
        <v>1332</v>
      </c>
      <c r="D5" s="1582" t="s">
        <v>770</v>
      </c>
      <c r="E5" s="1582"/>
      <c r="F5" s="1582" t="s">
        <v>1571</v>
      </c>
      <c r="G5" s="52" t="s">
        <v>1526</v>
      </c>
      <c r="H5" s="52"/>
      <c r="I5" s="52"/>
      <c r="J5" s="52"/>
      <c r="K5" s="52"/>
      <c r="L5" s="52"/>
      <c r="M5" s="52"/>
      <c r="N5" s="52"/>
    </row>
    <row r="6" spans="1:14" s="26" customFormat="1">
      <c r="A6" s="1578"/>
      <c r="B6" s="1580"/>
      <c r="C6" s="1581"/>
      <c r="D6" s="1" t="s">
        <v>1329</v>
      </c>
      <c r="E6" s="1" t="s">
        <v>1330</v>
      </c>
      <c r="F6" s="1582"/>
      <c r="G6" s="54" t="str">
        <f>IF(OR(D6&lt;&gt;0,E6&lt;&gt;0),"Print","")</f>
        <v>Print</v>
      </c>
      <c r="H6" s="53"/>
      <c r="I6" s="53"/>
      <c r="J6" s="53"/>
      <c r="K6" s="53"/>
      <c r="L6" s="53"/>
      <c r="M6" s="53"/>
      <c r="N6" s="53"/>
    </row>
    <row r="7" spans="1:14" s="27" customFormat="1" ht="14.25">
      <c r="A7" s="33" t="s">
        <v>1454</v>
      </c>
      <c r="B7" s="33" t="str">
        <f>LEFT(A7,4)</f>
        <v>N011</v>
      </c>
      <c r="C7" s="34" t="s">
        <v>771</v>
      </c>
      <c r="D7" s="45">
        <f>SUMIF(BTDC!$G$8:$G$42,A7,BTDC!$I$8:$I$42)</f>
        <v>0</v>
      </c>
      <c r="E7" s="45">
        <f>SUMIF(BTDC!$H$8:$H$42,A7,BTDC!$I$8:$I$42)</f>
        <v>0</v>
      </c>
      <c r="F7" s="46">
        <f>D7-E7</f>
        <v>0</v>
      </c>
      <c r="G7" s="54" t="str">
        <f t="shared" ref="G7:G71" si="0">IF(OR(D7&lt;&gt;0,E7&lt;&gt;0),"Print","")</f>
        <v/>
      </c>
      <c r="H7" s="54"/>
      <c r="I7" s="54"/>
      <c r="J7" s="54"/>
      <c r="K7" s="54"/>
      <c r="L7" s="54"/>
      <c r="M7" s="54"/>
      <c r="N7" s="54"/>
    </row>
    <row r="8" spans="1:14" s="27" customFormat="1" ht="14.25">
      <c r="A8" s="35" t="s">
        <v>1455</v>
      </c>
      <c r="B8" s="33" t="str">
        <f t="shared" ref="B8:B80" si="1">LEFT(A8,4)</f>
        <v>N011</v>
      </c>
      <c r="C8" s="36" t="s">
        <v>1457</v>
      </c>
      <c r="D8" s="45">
        <f>SUMIF(BTDC!$G$8:$G$42,A8,BTDC!$I$8:$I$42)</f>
        <v>0</v>
      </c>
      <c r="E8" s="45">
        <f>SUMIF(BTDC!$H$8:$H$42,A8,BTDC!$I$8:$I$42)</f>
        <v>0</v>
      </c>
      <c r="F8" s="46">
        <f t="shared" ref="F8:F56" si="2">D8-E8</f>
        <v>0</v>
      </c>
      <c r="G8" s="54" t="str">
        <f t="shared" si="0"/>
        <v/>
      </c>
      <c r="H8" s="54"/>
      <c r="I8" s="54"/>
      <c r="J8" s="54"/>
      <c r="K8" s="54"/>
      <c r="L8" s="54"/>
      <c r="M8" s="54"/>
      <c r="N8" s="54"/>
    </row>
    <row r="9" spans="1:14" s="27" customFormat="1" ht="14.25">
      <c r="A9" s="35" t="s">
        <v>1456</v>
      </c>
      <c r="B9" s="33" t="str">
        <f t="shared" si="1"/>
        <v>N011</v>
      </c>
      <c r="C9" s="34" t="s">
        <v>772</v>
      </c>
      <c r="D9" s="45">
        <f>SUMIF(BTDC!$G$8:$G$42,A9,BTDC!$I$8:$I$42)</f>
        <v>0</v>
      </c>
      <c r="E9" s="45">
        <f>SUMIF(BTDC!$H$8:$H$42,A9,BTDC!$I$8:$I$42)</f>
        <v>0</v>
      </c>
      <c r="F9" s="46">
        <f t="shared" si="2"/>
        <v>0</v>
      </c>
      <c r="G9" s="54" t="str">
        <f t="shared" si="0"/>
        <v/>
      </c>
      <c r="H9" s="54"/>
      <c r="I9" s="54"/>
      <c r="J9" s="54"/>
      <c r="K9" s="54"/>
      <c r="L9" s="54"/>
      <c r="M9" s="54"/>
      <c r="N9" s="54"/>
    </row>
    <row r="10" spans="1:14" s="27" customFormat="1" ht="14.25">
      <c r="A10" s="35" t="s">
        <v>1489</v>
      </c>
      <c r="B10" s="33" t="str">
        <f t="shared" si="1"/>
        <v>N012</v>
      </c>
      <c r="C10" s="34" t="s">
        <v>772</v>
      </c>
      <c r="D10" s="45">
        <f>SUMIF(BTDC!$G$8:$G$42,A10,BTDC!$I$8:$I$42)</f>
        <v>0</v>
      </c>
      <c r="E10" s="45">
        <f>SUMIF(BTDC!$H$8:$H$42,A10,BTDC!$I$8:$I$42)</f>
        <v>0</v>
      </c>
      <c r="F10" s="46">
        <f>D10-E10</f>
        <v>0</v>
      </c>
      <c r="G10" s="54" t="str">
        <f t="shared" si="0"/>
        <v/>
      </c>
      <c r="H10" s="54"/>
      <c r="I10" s="54"/>
      <c r="J10" s="54"/>
      <c r="K10" s="54"/>
      <c r="L10" s="54"/>
      <c r="M10" s="54"/>
      <c r="N10" s="54"/>
    </row>
    <row r="11" spans="1:14" s="27" customFormat="1" ht="14.25">
      <c r="A11" s="35" t="s">
        <v>1282</v>
      </c>
      <c r="B11" s="33" t="str">
        <f t="shared" si="1"/>
        <v>N121</v>
      </c>
      <c r="C11" s="34" t="s">
        <v>773</v>
      </c>
      <c r="D11" s="45">
        <f>SUMIF(BTDC!$G$8:$G$42,A11,BTDC!$I$8:$I$42)</f>
        <v>0</v>
      </c>
      <c r="E11" s="45">
        <f>SUMIF(BTDC!$H$8:$H$42,A11,BTDC!$I$8:$I$42)</f>
        <v>0</v>
      </c>
      <c r="F11" s="46">
        <f t="shared" si="2"/>
        <v>0</v>
      </c>
      <c r="G11" s="54" t="str">
        <f t="shared" si="0"/>
        <v/>
      </c>
      <c r="H11" s="54"/>
      <c r="I11" s="54"/>
      <c r="J11" s="54"/>
      <c r="K11" s="54"/>
      <c r="L11" s="54"/>
      <c r="M11" s="54"/>
      <c r="N11" s="54"/>
    </row>
    <row r="12" spans="1:14" s="27" customFormat="1" ht="14.25">
      <c r="A12" s="35" t="s">
        <v>866</v>
      </c>
      <c r="B12" s="33" t="str">
        <f t="shared" si="1"/>
        <v>N129</v>
      </c>
      <c r="C12" s="34" t="s">
        <v>1269</v>
      </c>
      <c r="D12" s="45">
        <f>SUMIF(BTDC!$G$8:$G$42,A12,BTDC!$I$8:$I$42)</f>
        <v>0</v>
      </c>
      <c r="E12" s="45">
        <f>SUMIF(BTDC!$H$8:$H$42,A12,BTDC!$I$8:$I$42)</f>
        <v>0</v>
      </c>
      <c r="F12" s="46">
        <f t="shared" si="2"/>
        <v>0</v>
      </c>
      <c r="G12" s="54" t="str">
        <f t="shared" si="0"/>
        <v/>
      </c>
      <c r="H12" s="54"/>
      <c r="I12" s="54"/>
      <c r="J12" s="54"/>
      <c r="K12" s="54"/>
      <c r="L12" s="54"/>
      <c r="M12" s="54"/>
      <c r="N12" s="54"/>
    </row>
    <row r="13" spans="1:14" s="27" customFormat="1" ht="14.25">
      <c r="A13" s="35" t="s">
        <v>1275</v>
      </c>
      <c r="B13" s="33" t="str">
        <f t="shared" si="1"/>
        <v>N131</v>
      </c>
      <c r="C13" s="34" t="s">
        <v>1290</v>
      </c>
      <c r="D13" s="45">
        <f>SUMIF(BTDC!$G$8:$G$42,A13,BTDC!$I$8:$I$42)</f>
        <v>0</v>
      </c>
      <c r="E13" s="45">
        <f>SUMIF(BTDC!$H$8:$H$42,A13,BTDC!$I$8:$I$42)</f>
        <v>0</v>
      </c>
      <c r="F13" s="46">
        <f t="shared" si="2"/>
        <v>0</v>
      </c>
      <c r="G13" s="54" t="str">
        <f t="shared" si="0"/>
        <v/>
      </c>
      <c r="H13" s="54"/>
      <c r="I13" s="54"/>
      <c r="J13" s="54"/>
      <c r="K13" s="54"/>
      <c r="L13" s="54"/>
      <c r="M13" s="54"/>
      <c r="N13" s="54"/>
    </row>
    <row r="14" spans="1:14" s="27" customFormat="1" ht="14.25">
      <c r="A14" s="35" t="s">
        <v>1272</v>
      </c>
      <c r="B14" s="33" t="str">
        <f t="shared" si="1"/>
        <v>D131</v>
      </c>
      <c r="C14" s="34" t="s">
        <v>1283</v>
      </c>
      <c r="D14" s="45">
        <f>SUMIF(BTDC!$G$8:$G$42,A14,BTDC!$I$8:$I$42)</f>
        <v>0</v>
      </c>
      <c r="E14" s="45">
        <f>SUMIF(BTDC!$H$8:$H$42,A14,BTDC!$I$8:$I$42)</f>
        <v>0</v>
      </c>
      <c r="F14" s="46">
        <f t="shared" si="2"/>
        <v>0</v>
      </c>
      <c r="G14" s="54" t="str">
        <f t="shared" si="0"/>
        <v/>
      </c>
      <c r="H14" s="54"/>
      <c r="I14" s="54"/>
      <c r="J14" s="54"/>
      <c r="K14" s="54"/>
      <c r="L14" s="54"/>
      <c r="M14" s="54"/>
      <c r="N14" s="54"/>
    </row>
    <row r="15" spans="1:14" s="27" customFormat="1" ht="14.25">
      <c r="A15" s="35" t="s">
        <v>1297</v>
      </c>
      <c r="B15" s="33" t="str">
        <f t="shared" si="1"/>
        <v>A331</v>
      </c>
      <c r="C15" s="34" t="s">
        <v>774</v>
      </c>
      <c r="D15" s="45">
        <f>SUMIF(BTDC!$G$8:$G$42,A15,BTDC!$I$8:$I$42)</f>
        <v>0</v>
      </c>
      <c r="E15" s="45">
        <f>SUMIF(BTDC!$H$8:$H$42,A15,BTDC!$I$8:$I$42)</f>
        <v>0</v>
      </c>
      <c r="F15" s="46">
        <f t="shared" si="2"/>
        <v>0</v>
      </c>
      <c r="G15" s="54" t="str">
        <f t="shared" si="0"/>
        <v/>
      </c>
      <c r="H15" s="54"/>
      <c r="I15" s="54"/>
      <c r="J15" s="54"/>
      <c r="K15" s="54"/>
      <c r="L15" s="54"/>
      <c r="M15" s="54"/>
      <c r="N15" s="54"/>
    </row>
    <row r="16" spans="1:14" s="27" customFormat="1" ht="14.25">
      <c r="A16" s="35" t="s">
        <v>1507</v>
      </c>
      <c r="B16" s="33" t="s">
        <v>1507</v>
      </c>
      <c r="C16" s="34" t="s">
        <v>775</v>
      </c>
      <c r="D16" s="45">
        <f>SUMIF(BTDC!$G$8:$G$42,A16,BTDC!$I$8:$I$42)</f>
        <v>0</v>
      </c>
      <c r="E16" s="45">
        <f>SUMIF(BTDC!$H$8:$H$42,A16,BTDC!$I$8:$I$42)</f>
        <v>0</v>
      </c>
      <c r="F16" s="46">
        <f>D16-E16</f>
        <v>0</v>
      </c>
      <c r="G16" s="54" t="str">
        <f t="shared" si="0"/>
        <v/>
      </c>
      <c r="H16" s="54"/>
      <c r="I16" s="54"/>
      <c r="J16" s="54"/>
      <c r="K16" s="54"/>
      <c r="L16" s="54"/>
      <c r="M16" s="54"/>
      <c r="N16" s="54"/>
    </row>
    <row r="17" spans="1:14" s="27" customFormat="1" ht="14.25">
      <c r="A17" s="35" t="s">
        <v>1508</v>
      </c>
      <c r="B17" s="33" t="s">
        <v>1508</v>
      </c>
      <c r="C17" s="34" t="s">
        <v>1511</v>
      </c>
      <c r="D17" s="45">
        <f>SUMIF(BTDC!$G$8:$G$42,A17,BTDC!$I$8:$I$42)</f>
        <v>0</v>
      </c>
      <c r="E17" s="45">
        <f>SUMIF(BTDC!$H$8:$H$42,A17,BTDC!$I$8:$I$42)</f>
        <v>0</v>
      </c>
      <c r="F17" s="46">
        <f t="shared" si="2"/>
        <v>0</v>
      </c>
      <c r="G17" s="54" t="str">
        <f t="shared" si="0"/>
        <v/>
      </c>
      <c r="H17" s="54"/>
      <c r="I17" s="54"/>
      <c r="J17" s="54"/>
      <c r="K17" s="54"/>
      <c r="L17" s="54"/>
      <c r="M17" s="54"/>
      <c r="N17" s="54"/>
    </row>
    <row r="18" spans="1:14" s="27" customFormat="1" ht="14.25">
      <c r="A18" s="35" t="s">
        <v>1276</v>
      </c>
      <c r="B18" s="33" t="str">
        <f t="shared" si="1"/>
        <v>N134</v>
      </c>
      <c r="C18" s="34" t="s">
        <v>1271</v>
      </c>
      <c r="D18" s="45">
        <f>SUMIF(BTDC!$G$8:$G$42,A18,BTDC!$I$8:$I$42)</f>
        <v>0</v>
      </c>
      <c r="E18" s="45">
        <f>SUMIF(BTDC!$H$8:$H$42,A18,BTDC!$I$8:$I$42)</f>
        <v>0</v>
      </c>
      <c r="F18" s="46">
        <f t="shared" si="2"/>
        <v>0</v>
      </c>
      <c r="G18" s="54" t="str">
        <f t="shared" si="0"/>
        <v/>
      </c>
      <c r="H18" s="54"/>
      <c r="I18" s="54"/>
      <c r="J18" s="54"/>
      <c r="K18" s="54"/>
      <c r="L18" s="54"/>
      <c r="M18" s="54"/>
      <c r="N18" s="54"/>
    </row>
    <row r="19" spans="1:14" s="27" customFormat="1" ht="14.25">
      <c r="A19" s="35" t="s">
        <v>1278</v>
      </c>
      <c r="B19" s="33" t="str">
        <f t="shared" si="1"/>
        <v>N136</v>
      </c>
      <c r="C19" s="34" t="s">
        <v>1285</v>
      </c>
      <c r="D19" s="45">
        <f>SUMIF(BTDC!$G$8:$G$42,A19,BTDC!$I$8:$I$42)</f>
        <v>0</v>
      </c>
      <c r="E19" s="45">
        <f>SUMIF(BTDC!$H$8:$H$42,A19,BTDC!$I$8:$I$42)</f>
        <v>0</v>
      </c>
      <c r="F19" s="46">
        <f t="shared" si="2"/>
        <v>0</v>
      </c>
      <c r="G19" s="54" t="str">
        <f t="shared" si="0"/>
        <v/>
      </c>
      <c r="H19" s="54"/>
      <c r="I19" s="54"/>
      <c r="J19" s="54"/>
      <c r="K19" s="54"/>
      <c r="L19" s="54"/>
      <c r="M19" s="54"/>
      <c r="N19" s="54"/>
    </row>
    <row r="20" spans="1:14" s="27" customFormat="1" ht="14.25">
      <c r="A20" s="35" t="s">
        <v>106</v>
      </c>
      <c r="B20" s="33" t="str">
        <f t="shared" si="1"/>
        <v>D136</v>
      </c>
      <c r="C20" s="34" t="s">
        <v>107</v>
      </c>
      <c r="D20" s="45">
        <f>SUMIF(BTDC!$G$8:$G$42,A20,BTDC!$I$8:$I$42)</f>
        <v>0</v>
      </c>
      <c r="E20" s="45">
        <f>SUMIF(BTDC!$H$8:$H$42,A20,BTDC!$I$8:$I$42)</f>
        <v>0</v>
      </c>
      <c r="F20" s="46">
        <f>D20-E20</f>
        <v>0</v>
      </c>
      <c r="G20" s="54" t="str">
        <f>IF(OR(D20&lt;&gt;0,E20&lt;&gt;0),"Print","")</f>
        <v/>
      </c>
      <c r="H20" s="54"/>
      <c r="I20" s="54"/>
      <c r="J20" s="54"/>
      <c r="K20" s="54"/>
      <c r="L20" s="54"/>
      <c r="M20" s="54"/>
      <c r="N20" s="54"/>
    </row>
    <row r="21" spans="1:14" s="27" customFormat="1" ht="14.25">
      <c r="A21" s="35" t="s">
        <v>1273</v>
      </c>
      <c r="B21" s="33" t="str">
        <f t="shared" si="1"/>
        <v>D136</v>
      </c>
      <c r="C21" s="34" t="s">
        <v>1284</v>
      </c>
      <c r="D21" s="45">
        <f>SUMIF(BTDC!$G$8:$G$42,A21,BTDC!$I$8:$I$42)</f>
        <v>0</v>
      </c>
      <c r="E21" s="45">
        <f>SUMIF(BTDC!$H$8:$H$42,A21,BTDC!$I$8:$I$42)</f>
        <v>0</v>
      </c>
      <c r="F21" s="46">
        <f t="shared" si="2"/>
        <v>0</v>
      </c>
      <c r="G21" s="54" t="str">
        <f t="shared" si="0"/>
        <v/>
      </c>
      <c r="H21" s="54"/>
      <c r="I21" s="54"/>
      <c r="J21" s="54"/>
      <c r="K21" s="54"/>
      <c r="L21" s="54"/>
      <c r="M21" s="54"/>
      <c r="N21" s="54"/>
    </row>
    <row r="22" spans="1:14" s="27" customFormat="1" ht="14.25">
      <c r="A22" s="35" t="s">
        <v>1277</v>
      </c>
      <c r="B22" s="33" t="str">
        <f t="shared" si="1"/>
        <v>N138</v>
      </c>
      <c r="C22" s="34" t="s">
        <v>1287</v>
      </c>
      <c r="D22" s="45">
        <f>SUMIF(BTDC!$G$8:$G$42,A22,BTDC!$I$8:$I$42)</f>
        <v>0</v>
      </c>
      <c r="E22" s="45">
        <f>SUMIF(BTDC!$H$8:$H$42,A22,BTDC!$I$8:$I$42)</f>
        <v>0</v>
      </c>
      <c r="F22" s="46">
        <f t="shared" si="2"/>
        <v>0</v>
      </c>
      <c r="G22" s="54" t="str">
        <f t="shared" si="0"/>
        <v/>
      </c>
      <c r="H22" s="54"/>
      <c r="I22" s="54"/>
      <c r="J22" s="54"/>
      <c r="K22" s="54"/>
      <c r="L22" s="54"/>
      <c r="M22" s="54"/>
      <c r="N22" s="54"/>
    </row>
    <row r="23" spans="1:14" s="27" customFormat="1" ht="14.25">
      <c r="A23" s="35" t="s">
        <v>1274</v>
      </c>
      <c r="B23" s="33" t="str">
        <f t="shared" si="1"/>
        <v>D138</v>
      </c>
      <c r="C23" s="34" t="s">
        <v>1286</v>
      </c>
      <c r="D23" s="45">
        <f>SUMIF(BTDC!$G$8:$G$42,A23,BTDC!$I$8:$I$42)</f>
        <v>0</v>
      </c>
      <c r="E23" s="45">
        <f>SUMIF(BTDC!$H$8:$H$42,A23,BTDC!$I$8:$I$42)</f>
        <v>0</v>
      </c>
      <c r="F23" s="46">
        <f t="shared" si="2"/>
        <v>0</v>
      </c>
      <c r="G23" s="54" t="str">
        <f t="shared" si="0"/>
        <v/>
      </c>
      <c r="H23" s="54"/>
      <c r="I23" s="54"/>
      <c r="J23" s="54"/>
      <c r="K23" s="54"/>
      <c r="L23" s="54"/>
      <c r="M23" s="54"/>
      <c r="N23" s="54"/>
    </row>
    <row r="24" spans="1:14" s="27" customFormat="1" ht="14.25">
      <c r="A24" s="35" t="s">
        <v>1281</v>
      </c>
      <c r="B24" s="33" t="str">
        <f t="shared" si="1"/>
        <v>N135</v>
      </c>
      <c r="C24" s="34" t="s">
        <v>1280</v>
      </c>
      <c r="D24" s="45">
        <f>SUMIF(BTDC!$G$8:$G$42,A24,BTDC!$I$8:$I$42)</f>
        <v>0</v>
      </c>
      <c r="E24" s="45">
        <f>SUMIF(BTDC!$H$8:$H$42,A24,BTDC!$I$8:$I$42)</f>
        <v>0</v>
      </c>
      <c r="F24" s="46">
        <f t="shared" si="2"/>
        <v>0</v>
      </c>
      <c r="G24" s="54" t="str">
        <f t="shared" si="0"/>
        <v/>
      </c>
      <c r="H24" s="54"/>
      <c r="I24" s="54"/>
      <c r="J24" s="54"/>
      <c r="K24" s="54"/>
      <c r="L24" s="54"/>
      <c r="M24" s="54"/>
      <c r="N24" s="54"/>
    </row>
    <row r="25" spans="1:14" s="27" customFormat="1" ht="14.25">
      <c r="A25" s="35" t="s">
        <v>867</v>
      </c>
      <c r="B25" s="33" t="str">
        <f t="shared" si="1"/>
        <v>N139</v>
      </c>
      <c r="C25" s="34" t="s">
        <v>1289</v>
      </c>
      <c r="D25" s="45">
        <f>SUMIF(BTDC!$G$8:$G$42,A25,BTDC!$I$8:$I$42)</f>
        <v>0</v>
      </c>
      <c r="E25" s="45">
        <f>SUMIF(BTDC!$H$8:$H$42,A25,BTDC!$I$8:$I$42)</f>
        <v>0</v>
      </c>
      <c r="F25" s="46">
        <f t="shared" si="2"/>
        <v>0</v>
      </c>
      <c r="G25" s="54" t="str">
        <f t="shared" si="0"/>
        <v/>
      </c>
      <c r="H25" s="54"/>
      <c r="I25" s="54"/>
      <c r="J25" s="54"/>
      <c r="K25" s="54"/>
      <c r="L25" s="54"/>
      <c r="M25" s="54"/>
      <c r="N25" s="54"/>
    </row>
    <row r="26" spans="1:14" s="27" customFormat="1" ht="14.25">
      <c r="A26" s="35" t="s">
        <v>1461</v>
      </c>
      <c r="B26" s="33" t="str">
        <f t="shared" si="1"/>
        <v>D139</v>
      </c>
      <c r="C26" s="34" t="s">
        <v>1288</v>
      </c>
      <c r="D26" s="45">
        <f>SUMIF(BTDC!$G$8:$G$42,A26,BTDC!$I$8:$I$42)</f>
        <v>0</v>
      </c>
      <c r="E26" s="45">
        <f>SUMIF(BTDC!$H$8:$H$42,A26,BTDC!$I$8:$I$42)</f>
        <v>0</v>
      </c>
      <c r="F26" s="46">
        <f t="shared" si="2"/>
        <v>0</v>
      </c>
      <c r="G26" s="54" t="str">
        <f t="shared" si="0"/>
        <v/>
      </c>
      <c r="H26" s="54"/>
      <c r="I26" s="54"/>
      <c r="J26" s="54"/>
      <c r="K26" s="54"/>
      <c r="L26" s="54"/>
      <c r="M26" s="54"/>
      <c r="N26" s="54"/>
    </row>
    <row r="27" spans="1:14" s="27" customFormat="1" ht="14.25">
      <c r="A27" s="35" t="s">
        <v>1458</v>
      </c>
      <c r="B27" s="33" t="s">
        <v>1460</v>
      </c>
      <c r="C27" s="34" t="s">
        <v>776</v>
      </c>
      <c r="D27" s="45">
        <f>SUMIF(BTDC!$G$8:$G$42,A27,BTDC!$I$8:$I$42)</f>
        <v>0</v>
      </c>
      <c r="E27" s="45">
        <f>SUMIF(BTDC!$H$8:$H$42,A27,BTDC!$I$8:$I$42)</f>
        <v>0</v>
      </c>
      <c r="F27" s="46">
        <f t="shared" si="2"/>
        <v>0</v>
      </c>
      <c r="G27" s="54" t="str">
        <f t="shared" si="0"/>
        <v/>
      </c>
      <c r="H27" s="54"/>
      <c r="I27" s="54"/>
      <c r="J27" s="54"/>
      <c r="K27" s="54"/>
      <c r="L27" s="54"/>
      <c r="M27" s="54"/>
      <c r="N27" s="54"/>
    </row>
    <row r="28" spans="1:14" s="27" customFormat="1" ht="14.25">
      <c r="A28" s="35" t="s">
        <v>1279</v>
      </c>
      <c r="B28" s="33" t="str">
        <f>LEFT(A28,4)</f>
        <v>N142</v>
      </c>
      <c r="C28" s="34" t="s">
        <v>777</v>
      </c>
      <c r="D28" s="45">
        <f>SUMIF(BTDC!$G$8:$G$42,A28,BTDC!$I$8:$I$42)</f>
        <v>0</v>
      </c>
      <c r="E28" s="45">
        <f>SUMIF(BTDC!$H$8:$H$42,A28,BTDC!$I$8:$I$42)</f>
        <v>0</v>
      </c>
      <c r="F28" s="46">
        <f t="shared" si="2"/>
        <v>0</v>
      </c>
      <c r="G28" s="54" t="str">
        <f t="shared" si="0"/>
        <v/>
      </c>
      <c r="H28" s="54"/>
      <c r="I28" s="54"/>
      <c r="J28" s="54"/>
      <c r="K28" s="54"/>
      <c r="L28" s="54"/>
      <c r="M28" s="54"/>
      <c r="N28" s="54"/>
    </row>
    <row r="29" spans="1:14" s="27" customFormat="1" ht="14.25">
      <c r="A29" s="35" t="s">
        <v>1459</v>
      </c>
      <c r="B29" s="33" t="s">
        <v>1460</v>
      </c>
      <c r="C29" s="34" t="s">
        <v>778</v>
      </c>
      <c r="D29" s="45">
        <f>SUMIF(BTDC!$G$8:$G$42,A29,BTDC!$I$8:$I$42)</f>
        <v>0</v>
      </c>
      <c r="E29" s="45">
        <f>SUMIF(BTDC!$H$8:$H$42,A29,BTDC!$I$8:$I$42)</f>
        <v>0</v>
      </c>
      <c r="F29" s="46">
        <f t="shared" si="2"/>
        <v>0</v>
      </c>
      <c r="G29" s="54" t="str">
        <f t="shared" si="0"/>
        <v/>
      </c>
      <c r="H29" s="54"/>
      <c r="I29" s="54"/>
      <c r="J29" s="54"/>
      <c r="K29" s="54"/>
      <c r="L29" s="54"/>
      <c r="M29" s="54"/>
      <c r="N29" s="54"/>
    </row>
    <row r="30" spans="1:14" s="27" customFormat="1" ht="14.25">
      <c r="A30" s="35" t="s">
        <v>869</v>
      </c>
      <c r="B30" s="33" t="str">
        <f t="shared" si="1"/>
        <v>N015</v>
      </c>
      <c r="C30" s="34" t="s">
        <v>779</v>
      </c>
      <c r="D30" s="45">
        <f>SUMIF(BTDC!$G$8:$G$42,A30,BTDC!$I$8:$I$42)</f>
        <v>0</v>
      </c>
      <c r="E30" s="45">
        <f>SUMIF(BTDC!$H$8:$H$42,A30,BTDC!$I$8:$I$42)</f>
        <v>0</v>
      </c>
      <c r="F30" s="46">
        <f t="shared" si="2"/>
        <v>0</v>
      </c>
      <c r="G30" s="54" t="str">
        <f t="shared" si="0"/>
        <v/>
      </c>
      <c r="H30" s="54"/>
      <c r="I30" s="54"/>
      <c r="J30" s="54"/>
      <c r="K30" s="54"/>
      <c r="L30" s="54"/>
      <c r="M30" s="54"/>
      <c r="N30" s="54"/>
    </row>
    <row r="31" spans="1:14" s="27" customFormat="1" ht="14.25">
      <c r="A31" s="35" t="s">
        <v>870</v>
      </c>
      <c r="B31" s="33" t="str">
        <f>LEFT(A31,4)</f>
        <v>N015</v>
      </c>
      <c r="C31" s="34" t="s">
        <v>780</v>
      </c>
      <c r="D31" s="45">
        <f>SUMIF(BTDC!$G$8:$G$42,A31,BTDC!$I$8:$I$42)</f>
        <v>0</v>
      </c>
      <c r="E31" s="45">
        <f>SUMIF(BTDC!$H$8:$H$42,A31,BTDC!$I$8:$I$42)</f>
        <v>0</v>
      </c>
      <c r="F31" s="46">
        <f t="shared" si="2"/>
        <v>0</v>
      </c>
      <c r="G31" s="54" t="str">
        <f t="shared" si="0"/>
        <v/>
      </c>
      <c r="H31" s="54"/>
      <c r="I31" s="54"/>
      <c r="J31" s="54"/>
      <c r="K31" s="54"/>
      <c r="L31" s="54"/>
      <c r="M31" s="54"/>
      <c r="N31" s="54"/>
    </row>
    <row r="32" spans="1:14" s="27" customFormat="1" ht="14.25">
      <c r="A32" s="35" t="s">
        <v>871</v>
      </c>
      <c r="B32" s="33" t="str">
        <f t="shared" si="1"/>
        <v>N015</v>
      </c>
      <c r="C32" s="34" t="s">
        <v>781</v>
      </c>
      <c r="D32" s="45">
        <f>SUMIF(BTDC!$G$8:$G$42,A32,BTDC!$I$8:$I$42)</f>
        <v>0</v>
      </c>
      <c r="E32" s="45">
        <f>SUMIF(BTDC!$H$8:$H$42,A32,BTDC!$I$8:$I$42)</f>
        <v>0</v>
      </c>
      <c r="F32" s="46">
        <f t="shared" si="2"/>
        <v>0</v>
      </c>
      <c r="G32" s="54" t="str">
        <f t="shared" si="0"/>
        <v/>
      </c>
      <c r="H32" s="54"/>
      <c r="I32" s="54"/>
      <c r="J32" s="54"/>
      <c r="K32" s="54"/>
      <c r="L32" s="54"/>
      <c r="M32" s="54"/>
      <c r="N32" s="54"/>
    </row>
    <row r="33" spans="1:14" s="27" customFormat="1" ht="14.25">
      <c r="A33" s="35" t="s">
        <v>872</v>
      </c>
      <c r="B33" s="33" t="str">
        <f t="shared" si="1"/>
        <v>N015</v>
      </c>
      <c r="C33" s="34" t="s">
        <v>782</v>
      </c>
      <c r="D33" s="45">
        <f>SUMIF(BTDC!$G$8:$G$42,A33,BTDC!$I$8:$I$42)</f>
        <v>0</v>
      </c>
      <c r="E33" s="45">
        <f>SUMIF(BTDC!$H$8:$H$42,A33,BTDC!$I$8:$I$42)</f>
        <v>0</v>
      </c>
      <c r="F33" s="46">
        <f t="shared" si="2"/>
        <v>0</v>
      </c>
      <c r="G33" s="54" t="str">
        <f t="shared" si="0"/>
        <v/>
      </c>
      <c r="H33" s="54"/>
      <c r="I33" s="54"/>
      <c r="J33" s="54"/>
      <c r="K33" s="54"/>
      <c r="L33" s="54"/>
      <c r="M33" s="54"/>
      <c r="N33" s="54"/>
    </row>
    <row r="34" spans="1:14" s="27" customFormat="1" ht="14.25">
      <c r="A34" s="35" t="s">
        <v>873</v>
      </c>
      <c r="B34" s="33" t="str">
        <f t="shared" si="1"/>
        <v>N015</v>
      </c>
      <c r="C34" s="34" t="s">
        <v>783</v>
      </c>
      <c r="D34" s="45">
        <f>SUMIF(BTDC!$G$8:$G$42,A34,BTDC!$I$8:$I$42)</f>
        <v>0</v>
      </c>
      <c r="E34" s="45">
        <f>SUMIF(BTDC!$H$8:$H$42,A34,BTDC!$I$8:$I$42)</f>
        <v>0</v>
      </c>
      <c r="F34" s="46">
        <f t="shared" si="2"/>
        <v>0</v>
      </c>
      <c r="G34" s="54" t="str">
        <f t="shared" si="0"/>
        <v/>
      </c>
      <c r="H34" s="54"/>
      <c r="I34" s="54"/>
      <c r="J34" s="54"/>
      <c r="K34" s="54"/>
      <c r="L34" s="54"/>
      <c r="M34" s="54"/>
      <c r="N34" s="54"/>
    </row>
    <row r="35" spans="1:14" s="27" customFormat="1" ht="14.25">
      <c r="A35" s="35" t="s">
        <v>1450</v>
      </c>
      <c r="B35" s="33" t="str">
        <f t="shared" si="1"/>
        <v>N015</v>
      </c>
      <c r="C35" s="34" t="s">
        <v>1130</v>
      </c>
      <c r="D35" s="45">
        <f>SUMIF(BTDC!$G$8:$G$42,A35,BTDC!$I$8:$I$42)</f>
        <v>0</v>
      </c>
      <c r="E35" s="45">
        <f>SUMIF(BTDC!$H$8:$H$42,A35,BTDC!$I$8:$I$42)</f>
        <v>0</v>
      </c>
      <c r="F35" s="46">
        <f t="shared" si="2"/>
        <v>0</v>
      </c>
      <c r="G35" s="54" t="str">
        <f t="shared" si="0"/>
        <v/>
      </c>
      <c r="H35" s="54"/>
      <c r="I35" s="54"/>
      <c r="J35" s="54"/>
      <c r="K35" s="54"/>
      <c r="L35" s="54"/>
      <c r="M35" s="54"/>
      <c r="N35" s="54"/>
    </row>
    <row r="36" spans="1:14" s="27" customFormat="1" ht="14.25">
      <c r="A36" s="35" t="s">
        <v>1451</v>
      </c>
      <c r="B36" s="33" t="str">
        <f t="shared" si="1"/>
        <v>N015</v>
      </c>
      <c r="C36" s="34" t="s">
        <v>784</v>
      </c>
      <c r="D36" s="45">
        <f>SUMIF(BTDC!$G$8:$G$42,A36,BTDC!$I$8:$I$42)</f>
        <v>0</v>
      </c>
      <c r="E36" s="45">
        <f>SUMIF(BTDC!$H$8:$H$42,A36,BTDC!$I$8:$I$42)</f>
        <v>0</v>
      </c>
      <c r="F36" s="46">
        <f t="shared" si="2"/>
        <v>0</v>
      </c>
      <c r="G36" s="54" t="str">
        <f t="shared" si="0"/>
        <v/>
      </c>
      <c r="H36" s="54"/>
      <c r="I36" s="54"/>
      <c r="J36" s="54"/>
      <c r="K36" s="54"/>
      <c r="L36" s="54"/>
      <c r="M36" s="54"/>
      <c r="N36" s="54"/>
    </row>
    <row r="37" spans="1:14" s="27" customFormat="1" ht="14.25">
      <c r="A37" s="35" t="s">
        <v>1452</v>
      </c>
      <c r="B37" s="33" t="str">
        <f t="shared" si="1"/>
        <v>N015</v>
      </c>
      <c r="C37" s="34" t="s">
        <v>785</v>
      </c>
      <c r="D37" s="45">
        <f>SUMIF(BTDC!$G$8:$G$42,A37,BTDC!$I$8:$I$42)</f>
        <v>0</v>
      </c>
      <c r="E37" s="45">
        <f>SUMIF(BTDC!$H$8:$H$42,A37,BTDC!$I$8:$I$42)</f>
        <v>0</v>
      </c>
      <c r="F37" s="46">
        <f t="shared" si="2"/>
        <v>0</v>
      </c>
      <c r="G37" s="54" t="str">
        <f t="shared" si="0"/>
        <v/>
      </c>
      <c r="H37" s="54"/>
      <c r="I37" s="54"/>
      <c r="J37" s="54"/>
      <c r="K37" s="54"/>
      <c r="L37" s="54"/>
      <c r="M37" s="54"/>
      <c r="N37" s="54"/>
    </row>
    <row r="38" spans="1:14" s="27" customFormat="1" ht="14.25">
      <c r="A38" s="35" t="s">
        <v>868</v>
      </c>
      <c r="B38" s="33" t="str">
        <f t="shared" si="1"/>
        <v>N159</v>
      </c>
      <c r="C38" s="34" t="s">
        <v>786</v>
      </c>
      <c r="D38" s="45">
        <f>SUMIF(BTDC!$G$8:$G$42,A38,BTDC!$I$8:$I$42)</f>
        <v>0</v>
      </c>
      <c r="E38" s="45">
        <f>SUMIF(BTDC!$H$8:$H$42,A38,BTDC!$I$8:$I$42)</f>
        <v>0</v>
      </c>
      <c r="F38" s="46">
        <f t="shared" si="2"/>
        <v>0</v>
      </c>
      <c r="G38" s="54" t="str">
        <f t="shared" si="0"/>
        <v/>
      </c>
      <c r="H38" s="54"/>
      <c r="I38" s="54"/>
      <c r="J38" s="54"/>
      <c r="K38" s="54"/>
      <c r="L38" s="54"/>
      <c r="M38" s="54"/>
      <c r="N38" s="54"/>
    </row>
    <row r="39" spans="1:14" s="27" customFormat="1" ht="14.25">
      <c r="A39" s="35" t="s">
        <v>1463</v>
      </c>
      <c r="B39" s="33" t="str">
        <f t="shared" si="1"/>
        <v>D211</v>
      </c>
      <c r="C39" s="34" t="s">
        <v>787</v>
      </c>
      <c r="D39" s="45">
        <f>SUMIF(BTDC!$G$8:$G$42,A39,BTDC!$I$8:$I$42)</f>
        <v>0</v>
      </c>
      <c r="E39" s="45">
        <f>SUMIF(BTDC!$H$8:$H$42,A39,BTDC!$I$8:$I$42)</f>
        <v>0</v>
      </c>
      <c r="F39" s="46">
        <f t="shared" si="2"/>
        <v>0</v>
      </c>
      <c r="G39" s="54" t="str">
        <f t="shared" si="0"/>
        <v/>
      </c>
      <c r="H39" s="54"/>
      <c r="I39" s="54"/>
      <c r="J39" s="54"/>
      <c r="K39" s="54"/>
      <c r="L39" s="54"/>
      <c r="M39" s="54"/>
      <c r="N39" s="54"/>
    </row>
    <row r="40" spans="1:14" s="27" customFormat="1" ht="14.25">
      <c r="A40" s="35" t="s">
        <v>1464</v>
      </c>
      <c r="B40" s="33" t="str">
        <f t="shared" si="1"/>
        <v>D212</v>
      </c>
      <c r="C40" s="34" t="s">
        <v>788</v>
      </c>
      <c r="D40" s="45">
        <f>SUMIF(BTDC!$G$8:$G$42,A40,BTDC!$I$8:$I$42)</f>
        <v>0</v>
      </c>
      <c r="E40" s="45">
        <f>SUMIF(BTDC!$H$8:$H$42,A40,BTDC!$I$8:$I$42)</f>
        <v>0</v>
      </c>
      <c r="F40" s="46">
        <f t="shared" si="2"/>
        <v>0</v>
      </c>
      <c r="G40" s="54" t="str">
        <f t="shared" si="0"/>
        <v/>
      </c>
      <c r="H40" s="54"/>
      <c r="I40" s="54"/>
      <c r="J40" s="54"/>
      <c r="K40" s="54"/>
      <c r="L40" s="54"/>
      <c r="M40" s="54"/>
      <c r="N40" s="54"/>
    </row>
    <row r="41" spans="1:14" s="27" customFormat="1" ht="14.25">
      <c r="A41" s="35" t="s">
        <v>1465</v>
      </c>
      <c r="B41" s="33" t="str">
        <f t="shared" si="1"/>
        <v>D213</v>
      </c>
      <c r="C41" s="34" t="s">
        <v>789</v>
      </c>
      <c r="D41" s="45">
        <f>SUMIF(BTDC!$G$8:$G$42,A41,BTDC!$I$8:$I$42)</f>
        <v>0</v>
      </c>
      <c r="E41" s="45">
        <f>SUMIF(BTDC!$H$8:$H$42,A41,BTDC!$I$8:$I$42)</f>
        <v>0</v>
      </c>
      <c r="F41" s="46">
        <f t="shared" si="2"/>
        <v>0</v>
      </c>
      <c r="G41" s="54" t="str">
        <f t="shared" si="0"/>
        <v/>
      </c>
      <c r="H41" s="54"/>
      <c r="I41" s="54"/>
      <c r="J41" s="54"/>
      <c r="K41" s="54"/>
      <c r="L41" s="54"/>
      <c r="M41" s="54"/>
      <c r="N41" s="54"/>
    </row>
    <row r="42" spans="1:14" s="27" customFormat="1" ht="14.25">
      <c r="A42" s="35" t="s">
        <v>1467</v>
      </c>
      <c r="B42" s="33" t="str">
        <f t="shared" si="1"/>
        <v>D217</v>
      </c>
      <c r="C42" s="34" t="s">
        <v>1572</v>
      </c>
      <c r="D42" s="45">
        <f>SUMIF(BTDC!$G$8:$G$42,A42,BTDC!$I$8:$I$42)</f>
        <v>0</v>
      </c>
      <c r="E42" s="45">
        <f>SUMIF(BTDC!$H$8:$H$42,A42,BTDC!$I$8:$I$42)</f>
        <v>0</v>
      </c>
      <c r="F42" s="46">
        <f t="shared" si="2"/>
        <v>0</v>
      </c>
      <c r="G42" s="54" t="str">
        <f t="shared" si="0"/>
        <v/>
      </c>
      <c r="H42" s="54"/>
      <c r="I42" s="54"/>
      <c r="J42" s="54"/>
      <c r="K42" s="54"/>
      <c r="L42" s="54"/>
      <c r="M42" s="54"/>
      <c r="N42" s="54"/>
    </row>
    <row r="43" spans="1:14" s="27" customFormat="1" ht="14.25">
      <c r="A43" s="35" t="s">
        <v>1468</v>
      </c>
      <c r="B43" s="33" t="str">
        <f>LEFT(A43,5)</f>
        <v>D2141</v>
      </c>
      <c r="C43" s="34" t="s">
        <v>1493</v>
      </c>
      <c r="D43" s="45">
        <f>SUMIF(BTDC!$G$8:$G$42,A43,BTDC!$I$8:$I$42)</f>
        <v>0</v>
      </c>
      <c r="E43" s="45">
        <f>SUMIF(BTDC!$H$8:$H$42,A43,BTDC!$I$8:$I$42)</f>
        <v>0</v>
      </c>
      <c r="F43" s="46">
        <f t="shared" si="2"/>
        <v>0</v>
      </c>
      <c r="G43" s="54" t="str">
        <f t="shared" si="0"/>
        <v/>
      </c>
      <c r="H43" s="54"/>
      <c r="I43" s="54"/>
      <c r="J43" s="54"/>
      <c r="K43" s="54"/>
      <c r="L43" s="54"/>
      <c r="M43" s="54"/>
      <c r="N43" s="54"/>
    </row>
    <row r="44" spans="1:14" s="27" customFormat="1" ht="14.25">
      <c r="A44" s="35" t="s">
        <v>1469</v>
      </c>
      <c r="B44" s="33" t="str">
        <f>LEFT(A44,5)</f>
        <v>D2142</v>
      </c>
      <c r="C44" s="34" t="s">
        <v>1490</v>
      </c>
      <c r="D44" s="45">
        <f>SUMIF(BTDC!$G$8:$G$42,A44,BTDC!$I$8:$I$42)</f>
        <v>0</v>
      </c>
      <c r="E44" s="45">
        <f>SUMIF(BTDC!$H$8:$H$42,A44,BTDC!$I$8:$I$42)</f>
        <v>0</v>
      </c>
      <c r="F44" s="46">
        <f t="shared" si="2"/>
        <v>0</v>
      </c>
      <c r="G44" s="54" t="str">
        <f t="shared" si="0"/>
        <v/>
      </c>
      <c r="H44" s="54"/>
      <c r="I44" s="54"/>
      <c r="J44" s="54"/>
      <c r="K44" s="54"/>
      <c r="L44" s="54"/>
      <c r="M44" s="54"/>
      <c r="N44" s="54"/>
    </row>
    <row r="45" spans="1:14" s="27" customFormat="1" ht="14.25">
      <c r="A45" s="35" t="s">
        <v>1494</v>
      </c>
      <c r="B45" s="33" t="str">
        <f>LEFT(A45,5)</f>
        <v>D2143</v>
      </c>
      <c r="C45" s="34" t="s">
        <v>790</v>
      </c>
      <c r="D45" s="45">
        <f>SUMIF(BTDC!$G$8:$G$42,A45,BTDC!$I$8:$I$42)</f>
        <v>0</v>
      </c>
      <c r="E45" s="45">
        <f>SUMIF(BTDC!$H$8:$H$42,A45,BTDC!$I$8:$I$42)</f>
        <v>0</v>
      </c>
      <c r="F45" s="46">
        <f t="shared" si="2"/>
        <v>0</v>
      </c>
      <c r="G45" s="54" t="str">
        <f t="shared" si="0"/>
        <v/>
      </c>
      <c r="H45" s="54"/>
      <c r="I45" s="54"/>
      <c r="J45" s="54"/>
      <c r="K45" s="54"/>
      <c r="L45" s="54"/>
      <c r="M45" s="54"/>
      <c r="N45" s="54"/>
    </row>
    <row r="46" spans="1:14" s="27" customFormat="1" ht="14.25">
      <c r="A46" s="35" t="s">
        <v>1495</v>
      </c>
      <c r="B46" s="33" t="str">
        <f>LEFT(A46,5)</f>
        <v>D2147</v>
      </c>
      <c r="C46" s="34" t="s">
        <v>1126</v>
      </c>
      <c r="D46" s="45">
        <f>SUMIF(BTDC!$G$8:$G$42,A46,BTDC!$I$8:$I$42)</f>
        <v>0</v>
      </c>
      <c r="E46" s="45">
        <f>SUMIF(BTDC!$H$8:$H$42,A46,BTDC!$I$8:$I$42)</f>
        <v>0</v>
      </c>
      <c r="F46" s="46">
        <f t="shared" si="2"/>
        <v>0</v>
      </c>
      <c r="G46" s="54" t="str">
        <f t="shared" si="0"/>
        <v/>
      </c>
      <c r="H46" s="54"/>
      <c r="I46" s="54"/>
      <c r="J46" s="54"/>
      <c r="K46" s="54"/>
      <c r="L46" s="54"/>
      <c r="M46" s="54"/>
      <c r="N46" s="54"/>
    </row>
    <row r="47" spans="1:14" s="27" customFormat="1" ht="14.25">
      <c r="A47" s="35" t="s">
        <v>1291</v>
      </c>
      <c r="B47" s="33" t="str">
        <f t="shared" si="1"/>
        <v>D222</v>
      </c>
      <c r="C47" s="34" t="s">
        <v>1128</v>
      </c>
      <c r="D47" s="45">
        <f>SUMIF(BTDC!$G$8:$G$42,A47,BTDC!$I$8:$I$42)</f>
        <v>0</v>
      </c>
      <c r="E47" s="45">
        <f>SUMIF(BTDC!$H$8:$H$42,A47,BTDC!$I$8:$I$42)</f>
        <v>0</v>
      </c>
      <c r="F47" s="46">
        <f t="shared" si="2"/>
        <v>0</v>
      </c>
      <c r="G47" s="54" t="str">
        <f t="shared" si="0"/>
        <v/>
      </c>
      <c r="H47" s="54"/>
      <c r="I47" s="54"/>
      <c r="J47" s="54"/>
      <c r="K47" s="54"/>
      <c r="L47" s="54"/>
      <c r="M47" s="54"/>
      <c r="N47" s="54"/>
    </row>
    <row r="48" spans="1:14" s="27" customFormat="1" ht="14.25">
      <c r="A48" s="35" t="s">
        <v>1292</v>
      </c>
      <c r="B48" s="33" t="str">
        <f>LEFT(A48,4)</f>
        <v>D223</v>
      </c>
      <c r="C48" s="34" t="s">
        <v>1129</v>
      </c>
      <c r="D48" s="45">
        <f>SUMIF(BTDC!$G$8:$G$42,A48,BTDC!$I$8:$I$42)</f>
        <v>0</v>
      </c>
      <c r="E48" s="45">
        <f>SUMIF(BTDC!$H$8:$H$42,A48,BTDC!$I$8:$I$42)</f>
        <v>0</v>
      </c>
      <c r="F48" s="46">
        <f t="shared" si="2"/>
        <v>0</v>
      </c>
      <c r="G48" s="54" t="str">
        <f t="shared" si="0"/>
        <v/>
      </c>
      <c r="H48" s="54"/>
      <c r="I48" s="54"/>
      <c r="J48" s="54"/>
      <c r="K48" s="54"/>
      <c r="L48" s="54"/>
      <c r="M48" s="54"/>
      <c r="N48" s="54"/>
    </row>
    <row r="49" spans="1:14" s="27" customFormat="1" ht="14.25">
      <c r="A49" s="35" t="s">
        <v>1470</v>
      </c>
      <c r="B49" s="33" t="str">
        <f t="shared" si="1"/>
        <v>D228</v>
      </c>
      <c r="C49" s="34" t="s">
        <v>1127</v>
      </c>
      <c r="D49" s="45">
        <f>SUMIF(BTDC!$G$8:$G$42,A49,BTDC!$I$8:$I$42)</f>
        <v>0</v>
      </c>
      <c r="E49" s="45">
        <f>SUMIF(BTDC!$H$8:$H$42,A49,BTDC!$I$8:$I$42)</f>
        <v>0</v>
      </c>
      <c r="F49" s="46">
        <f t="shared" si="2"/>
        <v>0</v>
      </c>
      <c r="G49" s="54" t="str">
        <f t="shared" si="0"/>
        <v/>
      </c>
      <c r="H49" s="54"/>
      <c r="I49" s="54"/>
      <c r="J49" s="54"/>
      <c r="K49" s="54"/>
      <c r="L49" s="54"/>
      <c r="M49" s="54"/>
      <c r="N49" s="54"/>
    </row>
    <row r="50" spans="1:14" s="27" customFormat="1" ht="14.25">
      <c r="A50" s="35" t="s">
        <v>1471</v>
      </c>
      <c r="B50" s="33" t="str">
        <f t="shared" si="1"/>
        <v>D221</v>
      </c>
      <c r="C50" s="34" t="s">
        <v>1293</v>
      </c>
      <c r="D50" s="45">
        <f>SUMIF(BTDC!$G$8:$G$42,A50,BTDC!$I$8:$I$42)</f>
        <v>0</v>
      </c>
      <c r="E50" s="45">
        <f>SUMIF(BTDC!$H$8:$H$42,A50,BTDC!$I$8:$I$42)</f>
        <v>0</v>
      </c>
      <c r="F50" s="46">
        <f t="shared" si="2"/>
        <v>0</v>
      </c>
      <c r="G50" s="54" t="str">
        <f t="shared" si="0"/>
        <v/>
      </c>
      <c r="H50" s="54"/>
      <c r="I50" s="54"/>
      <c r="J50" s="54"/>
      <c r="K50" s="54"/>
      <c r="L50" s="54"/>
      <c r="M50" s="54"/>
      <c r="N50" s="54"/>
    </row>
    <row r="51" spans="1:14" s="27" customFormat="1" ht="14.25">
      <c r="A51" s="35" t="s">
        <v>1462</v>
      </c>
      <c r="B51" s="33" t="str">
        <f t="shared" si="1"/>
        <v>D022</v>
      </c>
      <c r="C51" s="34" t="s">
        <v>1492</v>
      </c>
      <c r="D51" s="45">
        <f>SUMIF(BTDC!$G$8:$G$42,A51,BTDC!$I$8:$I$42)</f>
        <v>0</v>
      </c>
      <c r="E51" s="45">
        <f>SUMIF(BTDC!$H$8:$H$42,A51,BTDC!$I$8:$I$42)</f>
        <v>0</v>
      </c>
      <c r="F51" s="46">
        <f>D51-E51</f>
        <v>0</v>
      </c>
      <c r="G51" s="54" t="str">
        <f t="shared" si="0"/>
        <v/>
      </c>
      <c r="H51" s="54"/>
      <c r="I51" s="54"/>
      <c r="J51" s="54"/>
      <c r="K51" s="54"/>
      <c r="L51" s="54"/>
      <c r="M51" s="54"/>
      <c r="N51" s="54"/>
    </row>
    <row r="52" spans="1:14" s="27" customFormat="1" ht="14.25">
      <c r="A52" s="35" t="s">
        <v>1466</v>
      </c>
      <c r="B52" s="33" t="str">
        <f t="shared" si="1"/>
        <v>D241</v>
      </c>
      <c r="C52" s="34" t="s">
        <v>791</v>
      </c>
      <c r="D52" s="45">
        <f>SUMIF(BTDC!$G$8:$G$42,A52,BTDC!$I$8:$I$42)</f>
        <v>0</v>
      </c>
      <c r="E52" s="45">
        <f>SUMIF(BTDC!$H$8:$H$42,A52,BTDC!$I$8:$I$42)</f>
        <v>0</v>
      </c>
      <c r="F52" s="46">
        <f t="shared" si="2"/>
        <v>0</v>
      </c>
      <c r="G52" s="54" t="str">
        <f t="shared" si="0"/>
        <v/>
      </c>
      <c r="H52" s="54"/>
      <c r="I52" s="54"/>
      <c r="J52" s="54"/>
      <c r="K52" s="54"/>
      <c r="L52" s="54"/>
      <c r="M52" s="54"/>
      <c r="N52" s="54"/>
    </row>
    <row r="53" spans="1:14" s="27" customFormat="1" ht="14.25">
      <c r="A53" s="35" t="s">
        <v>1475</v>
      </c>
      <c r="B53" s="33" t="str">
        <f t="shared" si="1"/>
        <v>D024</v>
      </c>
      <c r="C53" s="34" t="s">
        <v>1491</v>
      </c>
      <c r="D53" s="45">
        <f>SUMIF(BTDC!$G$8:$G$42,A53,BTDC!$I$8:$I$42)</f>
        <v>0</v>
      </c>
      <c r="E53" s="45">
        <f>SUMIF(BTDC!$H$8:$H$42,A53,BTDC!$I$8:$I$42)</f>
        <v>0</v>
      </c>
      <c r="F53" s="46">
        <f>D53-E53</f>
        <v>0</v>
      </c>
      <c r="G53" s="54" t="str">
        <f t="shared" si="0"/>
        <v/>
      </c>
      <c r="H53" s="54"/>
      <c r="I53" s="54"/>
      <c r="J53" s="54"/>
      <c r="K53" s="54"/>
      <c r="L53" s="54"/>
      <c r="M53" s="54"/>
      <c r="N53" s="54"/>
    </row>
    <row r="54" spans="1:14" s="27" customFormat="1" ht="14.25">
      <c r="A54" s="35" t="s">
        <v>1472</v>
      </c>
      <c r="B54" s="33" t="str">
        <f t="shared" si="1"/>
        <v>D229</v>
      </c>
      <c r="C54" s="34" t="s">
        <v>1294</v>
      </c>
      <c r="D54" s="45">
        <f>SUMIF(BTDC!$G$8:$G$42,A54,BTDC!$I$8:$I$42)</f>
        <v>0</v>
      </c>
      <c r="E54" s="45">
        <f>SUMIF(BTDC!$H$8:$H$42,A54,BTDC!$I$8:$I$42)</f>
        <v>0</v>
      </c>
      <c r="F54" s="46">
        <f t="shared" si="2"/>
        <v>0</v>
      </c>
      <c r="G54" s="54" t="str">
        <f t="shared" si="0"/>
        <v/>
      </c>
      <c r="H54" s="54"/>
      <c r="I54" s="54"/>
      <c r="J54" s="54"/>
      <c r="K54" s="54"/>
      <c r="L54" s="54"/>
      <c r="M54" s="54"/>
      <c r="N54" s="54"/>
    </row>
    <row r="55" spans="1:14" s="27" customFormat="1" ht="15" customHeight="1">
      <c r="A55" s="35" t="s">
        <v>1473</v>
      </c>
      <c r="B55" s="33" t="str">
        <f t="shared" si="1"/>
        <v>D242</v>
      </c>
      <c r="C55" s="34" t="s">
        <v>792</v>
      </c>
      <c r="D55" s="45">
        <f>SUMIF(BTDC!$G$8:$G$42,A55,BTDC!$I$8:$I$42)</f>
        <v>0</v>
      </c>
      <c r="E55" s="45">
        <f>SUMIF(BTDC!$H$8:$H$42,A55,BTDC!$I$8:$I$42)</f>
        <v>0</v>
      </c>
      <c r="F55" s="46">
        <f t="shared" si="2"/>
        <v>0</v>
      </c>
      <c r="G55" s="54" t="str">
        <f t="shared" si="0"/>
        <v/>
      </c>
      <c r="H55" s="54"/>
      <c r="I55" s="54"/>
      <c r="J55" s="54"/>
      <c r="K55" s="54"/>
      <c r="L55" s="54"/>
      <c r="M55" s="54"/>
      <c r="N55" s="54"/>
    </row>
    <row r="56" spans="1:14" s="27" customFormat="1" ht="14.25">
      <c r="A56" s="35" t="s">
        <v>1474</v>
      </c>
      <c r="B56" s="33" t="str">
        <f t="shared" si="1"/>
        <v>D262</v>
      </c>
      <c r="C56" s="34" t="s">
        <v>1295</v>
      </c>
      <c r="D56" s="45">
        <f>SUMIF(BTDC!$G$8:$G$42,A56,BTDC!$I$8:$I$42)</f>
        <v>0</v>
      </c>
      <c r="E56" s="45">
        <f>SUMIF(BTDC!$H$8:$H$42,A56,BTDC!$I$8:$I$42)</f>
        <v>0</v>
      </c>
      <c r="F56" s="46">
        <f t="shared" si="2"/>
        <v>0</v>
      </c>
      <c r="G56" s="54" t="str">
        <f t="shared" si="0"/>
        <v/>
      </c>
      <c r="H56" s="54"/>
      <c r="I56" s="54"/>
      <c r="J56" s="54"/>
      <c r="K56" s="54"/>
      <c r="L56" s="54"/>
      <c r="M56" s="54"/>
      <c r="N56" s="54"/>
    </row>
    <row r="57" spans="1:14" s="27" customFormat="1" ht="14.25">
      <c r="A57" s="35" t="s">
        <v>1256</v>
      </c>
      <c r="B57" s="33" t="str">
        <f t="shared" si="1"/>
        <v>N311</v>
      </c>
      <c r="C57" s="34" t="s">
        <v>793</v>
      </c>
      <c r="D57" s="45">
        <f>SUMIF(BTDC!$G$8:$G$42,A57,BTDC!$I$8:$I$42)</f>
        <v>0</v>
      </c>
      <c r="E57" s="45">
        <f>SUMIF(BTDC!$H$8:$H$42,A57,BTDC!$I$8:$I$42)</f>
        <v>0</v>
      </c>
      <c r="F57" s="46">
        <f>E57-D57</f>
        <v>0</v>
      </c>
      <c r="G57" s="54" t="str">
        <f t="shared" si="0"/>
        <v/>
      </c>
      <c r="H57" s="54"/>
      <c r="I57" s="54"/>
      <c r="J57" s="54"/>
      <c r="K57" s="54"/>
      <c r="L57" s="54"/>
      <c r="M57" s="54"/>
      <c r="N57" s="54"/>
    </row>
    <row r="58" spans="1:14" s="27" customFormat="1" ht="14.25">
      <c r="A58" s="35" t="s">
        <v>1257</v>
      </c>
      <c r="B58" s="33" t="str">
        <f t="shared" si="1"/>
        <v>N331</v>
      </c>
      <c r="C58" s="37" t="s">
        <v>1557</v>
      </c>
      <c r="D58" s="45">
        <f>SUMIF(BTDC!$G$8:$G$42,A58,BTDC!$I$8:$I$42)</f>
        <v>0</v>
      </c>
      <c r="E58" s="45">
        <f>SUMIF(BTDC!$H$8:$H$42,A58,BTDC!$I$8:$I$42)</f>
        <v>0</v>
      </c>
      <c r="F58" s="46">
        <f t="shared" ref="F58:F87" si="3">E58-D58</f>
        <v>0</v>
      </c>
      <c r="G58" s="54" t="str">
        <f t="shared" si="0"/>
        <v/>
      </c>
      <c r="H58" s="54"/>
      <c r="I58" s="54"/>
      <c r="J58" s="54"/>
      <c r="K58" s="54"/>
      <c r="L58" s="54"/>
      <c r="M58" s="54"/>
      <c r="N58" s="54"/>
    </row>
    <row r="59" spans="1:14" s="27" customFormat="1" ht="14.25">
      <c r="A59" s="35" t="s">
        <v>1296</v>
      </c>
      <c r="B59" s="33" t="str">
        <f t="shared" si="1"/>
        <v>A131</v>
      </c>
      <c r="C59" s="34" t="s">
        <v>1558</v>
      </c>
      <c r="D59" s="45">
        <f>SUMIF(BTDC!$G$8:$G$42,A59,BTDC!$I$8:$I$42)</f>
        <v>0</v>
      </c>
      <c r="E59" s="45">
        <f>SUMIF(BTDC!$H$8:$H$42,A59,BTDC!$I$8:$I$42)</f>
        <v>0</v>
      </c>
      <c r="F59" s="46">
        <f t="shared" si="3"/>
        <v>0</v>
      </c>
      <c r="G59" s="54" t="str">
        <f t="shared" si="0"/>
        <v/>
      </c>
      <c r="H59" s="54"/>
      <c r="I59" s="54"/>
      <c r="J59" s="54"/>
      <c r="K59" s="54"/>
      <c r="L59" s="54"/>
      <c r="M59" s="54"/>
      <c r="N59" s="54"/>
    </row>
    <row r="60" spans="1:14" s="27" customFormat="1" ht="14.25">
      <c r="A60" s="35" t="s">
        <v>1258</v>
      </c>
      <c r="B60" s="33" t="str">
        <f t="shared" si="1"/>
        <v>N333</v>
      </c>
      <c r="C60" s="34" t="s">
        <v>1559</v>
      </c>
      <c r="D60" s="45">
        <f>SUMIF(BTDC!$G$8:$G$42,A60,BTDC!$I$8:$I$42)</f>
        <v>0</v>
      </c>
      <c r="E60" s="45">
        <f>SUMIF(BTDC!$H$8:$H$42,A60,BTDC!$I$8:$I$42)</f>
        <v>0</v>
      </c>
      <c r="F60" s="46">
        <f t="shared" si="3"/>
        <v>0</v>
      </c>
      <c r="G60" s="54" t="str">
        <f t="shared" si="0"/>
        <v/>
      </c>
      <c r="H60" s="54"/>
      <c r="I60" s="54"/>
      <c r="J60" s="54"/>
      <c r="K60" s="54"/>
      <c r="L60" s="54"/>
      <c r="M60" s="54"/>
      <c r="N60" s="54"/>
    </row>
    <row r="61" spans="1:14" s="27" customFormat="1" ht="14.25">
      <c r="A61" s="35" t="s">
        <v>1259</v>
      </c>
      <c r="B61" s="33" t="str">
        <f t="shared" si="1"/>
        <v>N334</v>
      </c>
      <c r="C61" s="34" t="s">
        <v>1560</v>
      </c>
      <c r="D61" s="45">
        <f>SUMIF(BTDC!$G$8:$G$42,A61,BTDC!$I$8:$I$42)</f>
        <v>0</v>
      </c>
      <c r="E61" s="45">
        <f>SUMIF(BTDC!$H$8:$H$42,A61,BTDC!$I$8:$I$42)</f>
        <v>0</v>
      </c>
      <c r="F61" s="46">
        <f t="shared" si="3"/>
        <v>0</v>
      </c>
      <c r="G61" s="54" t="str">
        <f t="shared" si="0"/>
        <v/>
      </c>
      <c r="H61" s="54"/>
      <c r="I61" s="54"/>
      <c r="J61" s="54"/>
      <c r="K61" s="54"/>
      <c r="L61" s="54"/>
      <c r="M61" s="54"/>
      <c r="N61" s="54"/>
    </row>
    <row r="62" spans="1:14" s="27" customFormat="1" ht="14.25">
      <c r="A62" s="35" t="s">
        <v>1260</v>
      </c>
      <c r="B62" s="33" t="str">
        <f t="shared" si="1"/>
        <v>N335</v>
      </c>
      <c r="C62" s="34" t="s">
        <v>1561</v>
      </c>
      <c r="D62" s="45">
        <f>SUMIF(BTDC!$G$8:$G$42,A62,BTDC!$I$8:$I$42)</f>
        <v>0</v>
      </c>
      <c r="E62" s="45">
        <f>SUMIF(BTDC!$H$8:$H$42,A62,BTDC!$I$8:$I$42)</f>
        <v>0</v>
      </c>
      <c r="F62" s="46">
        <f t="shared" si="3"/>
        <v>0</v>
      </c>
      <c r="G62" s="54" t="str">
        <f t="shared" si="0"/>
        <v/>
      </c>
      <c r="H62" s="54"/>
      <c r="I62" s="54"/>
      <c r="J62" s="54"/>
      <c r="K62" s="54"/>
      <c r="L62" s="54"/>
      <c r="M62" s="54"/>
      <c r="N62" s="54"/>
    </row>
    <row r="63" spans="1:14" s="27" customFormat="1" ht="14.25">
      <c r="A63" s="35" t="s">
        <v>1255</v>
      </c>
      <c r="B63" s="33" t="str">
        <f t="shared" si="1"/>
        <v>N336</v>
      </c>
      <c r="C63" s="34" t="s">
        <v>1562</v>
      </c>
      <c r="D63" s="45">
        <f>SUMIF(BTDC!$G$8:$G$42,A63,BTDC!$I$8:$I$42)</f>
        <v>0</v>
      </c>
      <c r="E63" s="45">
        <f>SUMIF(BTDC!$H$8:$H$42,A63,BTDC!$I$8:$I$42)</f>
        <v>0</v>
      </c>
      <c r="F63" s="46">
        <f t="shared" si="3"/>
        <v>0</v>
      </c>
      <c r="G63" s="54" t="str">
        <f t="shared" si="0"/>
        <v/>
      </c>
      <c r="H63" s="54"/>
      <c r="I63" s="54"/>
      <c r="J63" s="54"/>
      <c r="K63" s="54"/>
      <c r="L63" s="54"/>
      <c r="M63" s="54"/>
      <c r="N63" s="54"/>
    </row>
    <row r="64" spans="1:14" s="27" customFormat="1" ht="14.25">
      <c r="A64" s="35" t="s">
        <v>1262</v>
      </c>
      <c r="B64" s="33" t="str">
        <f t="shared" si="1"/>
        <v>N338</v>
      </c>
      <c r="C64" s="34" t="s">
        <v>1563</v>
      </c>
      <c r="D64" s="45">
        <f>SUMIF(BTDC!$G$8:$G$42,A64,BTDC!$I$8:$I$42)</f>
        <v>0</v>
      </c>
      <c r="E64" s="45">
        <f>SUMIF(BTDC!$H$8:$H$42,A64,BTDC!$I$8:$I$42)</f>
        <v>0</v>
      </c>
      <c r="F64" s="46">
        <f>E64-D64</f>
        <v>0</v>
      </c>
      <c r="G64" s="54" t="str">
        <f t="shared" si="0"/>
        <v/>
      </c>
      <c r="H64" s="54"/>
      <c r="I64" s="54"/>
      <c r="J64" s="54"/>
      <c r="K64" s="54"/>
      <c r="L64" s="54"/>
      <c r="M64" s="54"/>
      <c r="N64" s="54"/>
    </row>
    <row r="65" spans="1:14" s="27" customFormat="1" ht="14.25">
      <c r="A65" s="35" t="s">
        <v>1509</v>
      </c>
      <c r="B65" s="33" t="str">
        <f t="shared" si="1"/>
        <v>N339</v>
      </c>
      <c r="C65" s="34" t="s">
        <v>1510</v>
      </c>
      <c r="D65" s="45">
        <f>SUMIF(BTDC!$G$8:$G$42,A65,BTDC!$I$8:$I$42)</f>
        <v>0</v>
      </c>
      <c r="E65" s="45">
        <f>SUMIF(BTDC!$H$8:$H$42,A65,BTDC!$I$8:$I$42)</f>
        <v>0</v>
      </c>
      <c r="F65" s="46">
        <f t="shared" si="3"/>
        <v>0</v>
      </c>
      <c r="G65" s="54" t="str">
        <f t="shared" si="0"/>
        <v/>
      </c>
      <c r="H65" s="54"/>
      <c r="I65" s="54"/>
      <c r="J65" s="54"/>
      <c r="K65" s="54"/>
      <c r="L65" s="54"/>
      <c r="M65" s="54"/>
      <c r="N65" s="54"/>
    </row>
    <row r="66" spans="1:14" s="27" customFormat="1" ht="14.25">
      <c r="A66" s="35" t="s">
        <v>1261</v>
      </c>
      <c r="B66" s="33" t="str">
        <f t="shared" si="1"/>
        <v>N318</v>
      </c>
      <c r="C66" s="34" t="s">
        <v>1252</v>
      </c>
      <c r="D66" s="45">
        <f>SUMIF(BTDC!$G$8:$G$42,A66,BTDC!$I$8:$I$42)</f>
        <v>0</v>
      </c>
      <c r="E66" s="45">
        <f>SUMIF(BTDC!$H$8:$H$42,A66,BTDC!$I$8:$I$42)</f>
        <v>0</v>
      </c>
      <c r="F66" s="46">
        <f t="shared" si="3"/>
        <v>0</v>
      </c>
      <c r="G66" s="54" t="str">
        <f t="shared" si="0"/>
        <v/>
      </c>
      <c r="H66" s="54"/>
      <c r="I66" s="54"/>
      <c r="J66" s="54"/>
      <c r="K66" s="54"/>
      <c r="L66" s="54"/>
      <c r="M66" s="54"/>
      <c r="N66" s="54"/>
    </row>
    <row r="67" spans="1:14" s="27" customFormat="1" ht="14.25">
      <c r="A67" s="35" t="s">
        <v>1264</v>
      </c>
      <c r="B67" s="33" t="str">
        <f t="shared" si="1"/>
        <v>D331</v>
      </c>
      <c r="C67" s="34" t="s">
        <v>1266</v>
      </c>
      <c r="D67" s="45">
        <f>SUMIF(BTDC!$G$8:$G$42,A67,BTDC!$I$8:$I$42)</f>
        <v>0</v>
      </c>
      <c r="E67" s="45">
        <f>SUMIF(BTDC!$H$8:$H$42,A67,BTDC!$I$8:$I$42)</f>
        <v>0</v>
      </c>
      <c r="F67" s="46">
        <f t="shared" si="3"/>
        <v>0</v>
      </c>
      <c r="G67" s="54" t="str">
        <f t="shared" si="0"/>
        <v/>
      </c>
      <c r="H67" s="54"/>
      <c r="I67" s="54"/>
      <c r="J67" s="54"/>
      <c r="K67" s="54"/>
      <c r="L67" s="54"/>
      <c r="M67" s="54"/>
      <c r="N67" s="54"/>
    </row>
    <row r="68" spans="1:14" s="27" customFormat="1" ht="14.25">
      <c r="A68" s="35" t="s">
        <v>1531</v>
      </c>
      <c r="B68" s="33" t="s">
        <v>1531</v>
      </c>
      <c r="C68" s="34" t="s">
        <v>1515</v>
      </c>
      <c r="D68" s="45">
        <f>SUMIF(BTDC!$G$8:$G$42,A68,BTDC!$I$8:$I$42)</f>
        <v>0</v>
      </c>
      <c r="E68" s="45">
        <f>SUMIF(BTDC!$H$8:$H$42,A68,BTDC!$I$8:$I$42)</f>
        <v>0</v>
      </c>
      <c r="F68" s="46">
        <f>E68-D68</f>
        <v>0</v>
      </c>
      <c r="G68" s="54" t="str">
        <f t="shared" si="0"/>
        <v/>
      </c>
      <c r="H68" s="54"/>
      <c r="I68" s="54"/>
      <c r="J68" s="54"/>
      <c r="K68" s="54"/>
      <c r="L68" s="54"/>
      <c r="M68" s="54"/>
      <c r="N68" s="54"/>
    </row>
    <row r="69" spans="1:14" s="27" customFormat="1" ht="14.25">
      <c r="A69" s="35" t="s">
        <v>1254</v>
      </c>
      <c r="B69" s="33" t="str">
        <f t="shared" si="1"/>
        <v>D336</v>
      </c>
      <c r="C69" s="34" t="s">
        <v>1267</v>
      </c>
      <c r="D69" s="45">
        <f>SUMIF(BTDC!$G$8:$G$42,A69,BTDC!$I$8:$I$42)</f>
        <v>0</v>
      </c>
      <c r="E69" s="45">
        <f>SUMIF(BTDC!$H$8:$H$42,A69,BTDC!$I$8:$I$42)</f>
        <v>0</v>
      </c>
      <c r="F69" s="46">
        <f t="shared" si="3"/>
        <v>0</v>
      </c>
      <c r="G69" s="54" t="str">
        <f t="shared" si="0"/>
        <v/>
      </c>
      <c r="H69" s="54"/>
      <c r="I69" s="54"/>
      <c r="J69" s="54"/>
      <c r="K69" s="54"/>
      <c r="L69" s="54"/>
      <c r="M69" s="54"/>
      <c r="N69" s="54"/>
    </row>
    <row r="70" spans="1:14" s="27" customFormat="1" ht="14.25">
      <c r="A70" s="35" t="s">
        <v>1263</v>
      </c>
      <c r="B70" s="33" t="str">
        <f>LEFT(A70,4)</f>
        <v>D338</v>
      </c>
      <c r="C70" s="34" t="s">
        <v>1268</v>
      </c>
      <c r="D70" s="45">
        <f>SUMIF(BTDC!$G$8:$G$42,A70,BTDC!$I$8:$I$42)</f>
        <v>0</v>
      </c>
      <c r="E70" s="45">
        <f>SUMIF(BTDC!$H$8:$H$42,A70,BTDC!$I$8:$I$42)</f>
        <v>0</v>
      </c>
      <c r="F70" s="46">
        <f>E70-D70</f>
        <v>0</v>
      </c>
      <c r="G70" s="54" t="str">
        <f t="shared" si="0"/>
        <v/>
      </c>
      <c r="H70" s="54"/>
      <c r="I70" s="54"/>
      <c r="J70" s="54"/>
      <c r="K70" s="54"/>
      <c r="L70" s="54"/>
      <c r="M70" s="54"/>
      <c r="N70" s="54"/>
    </row>
    <row r="71" spans="1:14" s="27" customFormat="1" ht="14.25">
      <c r="A71" s="35" t="s">
        <v>1513</v>
      </c>
      <c r="B71" s="33" t="str">
        <f>LEFT(A71,4)</f>
        <v>D339</v>
      </c>
      <c r="C71" s="34" t="s">
        <v>1514</v>
      </c>
      <c r="D71" s="45">
        <f>SUMIF(BTDC!$G$8:$G$42,A71,BTDC!$I$8:$I$42)</f>
        <v>0</v>
      </c>
      <c r="E71" s="45">
        <f>SUMIF(BTDC!$H$8:$H$42,A71,BTDC!$I$8:$I$42)</f>
        <v>0</v>
      </c>
      <c r="F71" s="46">
        <f t="shared" si="3"/>
        <v>0</v>
      </c>
      <c r="G71" s="54" t="str">
        <f t="shared" si="0"/>
        <v/>
      </c>
      <c r="H71" s="54"/>
      <c r="I71" s="54"/>
      <c r="J71" s="54"/>
      <c r="K71" s="54"/>
      <c r="L71" s="54"/>
      <c r="M71" s="54"/>
      <c r="N71" s="54"/>
    </row>
    <row r="72" spans="1:14" s="27" customFormat="1" ht="14.25">
      <c r="A72" s="35" t="s">
        <v>1253</v>
      </c>
      <c r="B72" s="33" t="str">
        <f t="shared" si="1"/>
        <v>D341</v>
      </c>
      <c r="C72" s="34" t="s">
        <v>874</v>
      </c>
      <c r="D72" s="45">
        <f>SUMIF(BTDC!$G$8:$G$42,A72,BTDC!$I$8:$I$42)</f>
        <v>0</v>
      </c>
      <c r="E72" s="45">
        <f>SUMIF(BTDC!$H$8:$H$42,A72,BTDC!$I$8:$I$42)</f>
        <v>0</v>
      </c>
      <c r="F72" s="46">
        <f t="shared" si="3"/>
        <v>0</v>
      </c>
      <c r="G72" s="54" t="str">
        <f t="shared" ref="G72:G104" si="4">IF(OR(D72&lt;&gt;0,E72&lt;&gt;0),"Print","")</f>
        <v/>
      </c>
      <c r="H72" s="54"/>
      <c r="I72" s="54"/>
      <c r="J72" s="54"/>
      <c r="K72" s="54"/>
      <c r="L72" s="54"/>
      <c r="M72" s="54"/>
      <c r="N72" s="54"/>
    </row>
    <row r="73" spans="1:14" s="27" customFormat="1" ht="14.25">
      <c r="A73" s="35" t="s">
        <v>1265</v>
      </c>
      <c r="B73" s="33" t="str">
        <f t="shared" si="1"/>
        <v>D333</v>
      </c>
      <c r="C73" s="34" t="s">
        <v>875</v>
      </c>
      <c r="D73" s="45">
        <f>SUMIF(BTDC!$G$8:$G$42,A73,BTDC!$I$8:$I$42)</f>
        <v>0</v>
      </c>
      <c r="E73" s="45">
        <f>SUMIF(BTDC!$H$8:$H$42,A73,BTDC!$I$8:$I$42)</f>
        <v>0</v>
      </c>
      <c r="F73" s="46">
        <f t="shared" si="3"/>
        <v>0</v>
      </c>
      <c r="G73" s="54" t="str">
        <f t="shared" si="4"/>
        <v/>
      </c>
      <c r="H73" s="54"/>
      <c r="I73" s="54"/>
      <c r="J73" s="54"/>
      <c r="K73" s="54"/>
      <c r="L73" s="54"/>
      <c r="M73" s="54"/>
      <c r="N73" s="54"/>
    </row>
    <row r="74" spans="1:14" s="27" customFormat="1" ht="14.25">
      <c r="A74" s="35" t="s">
        <v>1476</v>
      </c>
      <c r="B74" s="33" t="str">
        <f t="shared" si="1"/>
        <v>D411</v>
      </c>
      <c r="C74" s="34" t="s">
        <v>876</v>
      </c>
      <c r="D74" s="45">
        <f>SUMIF(BTDC!$G$8:$G$42,A74,BTDC!$I$8:$I$42)</f>
        <v>0</v>
      </c>
      <c r="E74" s="45">
        <f>SUMIF(BTDC!$H$8:$H$42,A74,BTDC!$I$8:$I$42)</f>
        <v>0</v>
      </c>
      <c r="F74" s="46">
        <f>E74-D74</f>
        <v>0</v>
      </c>
      <c r="G74" s="54" t="str">
        <f t="shared" si="4"/>
        <v/>
      </c>
      <c r="H74" s="54"/>
      <c r="I74" s="54"/>
      <c r="J74" s="54"/>
      <c r="K74" s="54"/>
      <c r="L74" s="54"/>
      <c r="M74" s="54"/>
      <c r="N74" s="54"/>
    </row>
    <row r="75" spans="1:14" s="27" customFormat="1" ht="14.25">
      <c r="A75" s="35" t="s">
        <v>1517</v>
      </c>
      <c r="B75" s="33" t="s">
        <v>1517</v>
      </c>
      <c r="C75" s="34" t="s">
        <v>1518</v>
      </c>
      <c r="D75" s="45">
        <f>SUMIF(BTDC!$G$8:$G$42,A75,BTDC!$I$8:$I$42)</f>
        <v>0</v>
      </c>
      <c r="E75" s="45">
        <f>SUMIF(BTDC!$H$8:$H$42,A75,BTDC!$I$8:$I$42)</f>
        <v>0</v>
      </c>
      <c r="F75" s="46">
        <f t="shared" si="3"/>
        <v>0</v>
      </c>
      <c r="G75" s="54" t="str">
        <f t="shared" si="4"/>
        <v/>
      </c>
      <c r="H75" s="54"/>
      <c r="I75" s="54"/>
      <c r="J75" s="54"/>
      <c r="K75" s="54"/>
      <c r="L75" s="54"/>
      <c r="M75" s="54"/>
      <c r="N75" s="54"/>
    </row>
    <row r="76" spans="1:14" s="27" customFormat="1" ht="14.25">
      <c r="A76" s="35" t="s">
        <v>1477</v>
      </c>
      <c r="B76" s="33" t="str">
        <f t="shared" si="1"/>
        <v>D417</v>
      </c>
      <c r="C76" s="34" t="s">
        <v>877</v>
      </c>
      <c r="D76" s="45">
        <f>SUMIF(BTDC!$G$8:$G$42,A76,BTDC!$I$8:$I$42)</f>
        <v>0</v>
      </c>
      <c r="E76" s="45">
        <f>SUMIF(BTDC!$H$8:$H$42,A76,BTDC!$I$8:$I$42)</f>
        <v>0</v>
      </c>
      <c r="F76" s="46">
        <f t="shared" si="3"/>
        <v>0</v>
      </c>
      <c r="G76" s="54" t="str">
        <f t="shared" si="4"/>
        <v/>
      </c>
      <c r="H76" s="54"/>
      <c r="I76" s="54"/>
      <c r="J76" s="54"/>
      <c r="K76" s="54"/>
      <c r="L76" s="54"/>
      <c r="M76" s="54"/>
      <c r="N76" s="54"/>
    </row>
    <row r="77" spans="1:14" s="27" customFormat="1" ht="14.25">
      <c r="A77" s="35" t="s">
        <v>1478</v>
      </c>
      <c r="B77" s="33" t="str">
        <f t="shared" si="1"/>
        <v>D419</v>
      </c>
      <c r="C77" s="34" t="s">
        <v>855</v>
      </c>
      <c r="D77" s="45">
        <f>SUMIF(BTDC!$G$8:$G$42,A77,BTDC!$I$8:$I$42)</f>
        <v>0</v>
      </c>
      <c r="E77" s="45">
        <f>SUMIF(BTDC!$H$8:$H$42,A77,BTDC!$I$8:$I$42)</f>
        <v>0</v>
      </c>
      <c r="F77" s="46">
        <f t="shared" si="3"/>
        <v>0</v>
      </c>
      <c r="G77" s="54" t="str">
        <f t="shared" si="4"/>
        <v/>
      </c>
      <c r="H77" s="54"/>
      <c r="I77" s="54"/>
      <c r="J77" s="54"/>
      <c r="K77" s="54"/>
      <c r="L77" s="54"/>
      <c r="M77" s="54"/>
      <c r="N77" s="54"/>
    </row>
    <row r="78" spans="1:14" s="27" customFormat="1" ht="14.25">
      <c r="A78" s="35" t="s">
        <v>1479</v>
      </c>
      <c r="B78" s="33" t="str">
        <f t="shared" si="1"/>
        <v>D412</v>
      </c>
      <c r="C78" s="34" t="s">
        <v>856</v>
      </c>
      <c r="D78" s="45">
        <f>SUMIF(BTDC!$G$8:$G$42,A78,BTDC!$I$8:$I$42)</f>
        <v>0</v>
      </c>
      <c r="E78" s="45">
        <f>SUMIF(BTDC!$H$8:$H$42,A78,BTDC!$I$8:$I$42)</f>
        <v>0</v>
      </c>
      <c r="F78" s="46">
        <f t="shared" si="3"/>
        <v>0</v>
      </c>
      <c r="G78" s="54" t="str">
        <f t="shared" si="4"/>
        <v/>
      </c>
      <c r="H78" s="54"/>
      <c r="I78" s="54"/>
      <c r="J78" s="54"/>
      <c r="K78" s="54"/>
      <c r="L78" s="54"/>
      <c r="M78" s="54"/>
      <c r="N78" s="54"/>
    </row>
    <row r="79" spans="1:14" s="27" customFormat="1" ht="14.25">
      <c r="A79" s="35" t="s">
        <v>1480</v>
      </c>
      <c r="B79" s="33" t="str">
        <f t="shared" si="1"/>
        <v>D413</v>
      </c>
      <c r="C79" s="34" t="s">
        <v>857</v>
      </c>
      <c r="D79" s="45">
        <f>SUMIF(BTDC!$G$8:$G$42,A79,BTDC!$I$8:$I$42)</f>
        <v>0</v>
      </c>
      <c r="E79" s="45">
        <f>SUMIF(BTDC!$H$8:$H$42,A79,BTDC!$I$8:$I$42)</f>
        <v>0</v>
      </c>
      <c r="F79" s="46">
        <f t="shared" si="3"/>
        <v>0</v>
      </c>
      <c r="G79" s="54" t="str">
        <f t="shared" si="4"/>
        <v/>
      </c>
      <c r="H79" s="54"/>
      <c r="I79" s="54"/>
      <c r="J79" s="54"/>
      <c r="K79" s="54"/>
      <c r="L79" s="54"/>
      <c r="M79" s="54"/>
      <c r="N79" s="54"/>
    </row>
    <row r="80" spans="1:14" s="27" customFormat="1" ht="14.25">
      <c r="A80" s="35" t="s">
        <v>1481</v>
      </c>
      <c r="B80" s="33" t="str">
        <f t="shared" si="1"/>
        <v>D414</v>
      </c>
      <c r="C80" s="34" t="s">
        <v>858</v>
      </c>
      <c r="D80" s="45">
        <f>SUMIF(BTDC!$G$8:$G$42,A80,BTDC!$I$8:$I$42)</f>
        <v>0</v>
      </c>
      <c r="E80" s="45">
        <f>SUMIF(BTDC!$H$8:$H$42,A80,BTDC!$I$8:$I$42)</f>
        <v>0</v>
      </c>
      <c r="F80" s="46">
        <f t="shared" si="3"/>
        <v>0</v>
      </c>
      <c r="G80" s="54" t="str">
        <f t="shared" si="4"/>
        <v/>
      </c>
      <c r="H80" s="54"/>
      <c r="I80" s="54"/>
      <c r="J80" s="54"/>
      <c r="K80" s="54"/>
      <c r="L80" s="54"/>
      <c r="M80" s="54"/>
      <c r="N80" s="54"/>
    </row>
    <row r="81" spans="1:14" s="27" customFormat="1" ht="14.25">
      <c r="A81" s="35" t="s">
        <v>1482</v>
      </c>
      <c r="B81" s="33" t="str">
        <f t="shared" ref="B81:B92" si="5">LEFT(A81,4)</f>
        <v>D415</v>
      </c>
      <c r="C81" s="34" t="s">
        <v>859</v>
      </c>
      <c r="D81" s="45">
        <f>SUMIF(BTDC!$G$8:$G$42,A81,BTDC!$I$8:$I$42)</f>
        <v>0</v>
      </c>
      <c r="E81" s="45">
        <f>SUMIF(BTDC!$H$8:$H$42,A81,BTDC!$I$8:$I$42)</f>
        <v>0</v>
      </c>
      <c r="F81" s="46">
        <f t="shared" si="3"/>
        <v>0</v>
      </c>
      <c r="G81" s="54" t="str">
        <f t="shared" si="4"/>
        <v/>
      </c>
      <c r="H81" s="54"/>
      <c r="I81" s="54"/>
      <c r="J81" s="54"/>
      <c r="K81" s="54"/>
      <c r="L81" s="54"/>
      <c r="M81" s="54"/>
      <c r="N81" s="54"/>
    </row>
    <row r="82" spans="1:14" s="27" customFormat="1" ht="14.25">
      <c r="A82" s="35" t="s">
        <v>1483</v>
      </c>
      <c r="B82" s="33" t="str">
        <f t="shared" si="5"/>
        <v>D044</v>
      </c>
      <c r="C82" s="34" t="s">
        <v>860</v>
      </c>
      <c r="D82" s="45">
        <f>SUMIF(BTDC!$G$8:$G$42,A82,BTDC!$I$8:$I$42)</f>
        <v>0</v>
      </c>
      <c r="E82" s="45">
        <f>SUMIF(BTDC!$H$8:$H$42,A82,BTDC!$I$8:$I$42)</f>
        <v>0</v>
      </c>
      <c r="F82" s="46">
        <f t="shared" si="3"/>
        <v>0</v>
      </c>
      <c r="G82" s="54" t="str">
        <f t="shared" si="4"/>
        <v/>
      </c>
      <c r="H82" s="54"/>
      <c r="I82" s="54"/>
      <c r="J82" s="54"/>
      <c r="K82" s="54"/>
      <c r="L82" s="54"/>
      <c r="M82" s="54"/>
      <c r="N82" s="54"/>
    </row>
    <row r="83" spans="1:14" s="27" customFormat="1" ht="14.25">
      <c r="A83" s="35" t="s">
        <v>1484</v>
      </c>
      <c r="B83" s="33" t="str">
        <f t="shared" si="5"/>
        <v>D421</v>
      </c>
      <c r="C83" s="34" t="s">
        <v>861</v>
      </c>
      <c r="D83" s="45">
        <f>SUMIF(BTDC!$G$8:$G$42,A83,BTDC!$I$8:$I$42)</f>
        <v>0</v>
      </c>
      <c r="E83" s="45">
        <f>SUMIF(BTDC!$H$8:$H$42,A83,BTDC!$I$8:$I$42)</f>
        <v>0</v>
      </c>
      <c r="F83" s="46">
        <f t="shared" si="3"/>
        <v>0</v>
      </c>
      <c r="G83" s="54" t="str">
        <f t="shared" si="4"/>
        <v/>
      </c>
      <c r="H83" s="54"/>
      <c r="I83" s="54"/>
      <c r="J83" s="54"/>
      <c r="K83" s="54"/>
      <c r="L83" s="54"/>
      <c r="M83" s="54"/>
      <c r="N83" s="54"/>
    </row>
    <row r="84" spans="1:14" s="27" customFormat="1" ht="14.25">
      <c r="A84" s="35" t="s">
        <v>1485</v>
      </c>
      <c r="B84" s="33" t="str">
        <f t="shared" si="5"/>
        <v>D431</v>
      </c>
      <c r="C84" s="34" t="s">
        <v>862</v>
      </c>
      <c r="D84" s="45">
        <f>SUMIF(BTDC!$G$8:$G$42,A84,BTDC!$I$8:$I$42)</f>
        <v>0</v>
      </c>
      <c r="E84" s="45">
        <f>SUMIF(BTDC!$H$8:$H$42,A84,BTDC!$I$8:$I$42)</f>
        <v>0</v>
      </c>
      <c r="F84" s="46">
        <f t="shared" si="3"/>
        <v>0</v>
      </c>
      <c r="G84" s="54" t="str">
        <f t="shared" si="4"/>
        <v/>
      </c>
      <c r="H84" s="54"/>
      <c r="I84" s="54"/>
      <c r="J84" s="54"/>
      <c r="K84" s="54"/>
      <c r="L84" s="54"/>
      <c r="M84" s="54"/>
      <c r="N84" s="54"/>
    </row>
    <row r="85" spans="1:14" s="27" customFormat="1" ht="14.25">
      <c r="A85" s="35" t="s">
        <v>1506</v>
      </c>
      <c r="B85" s="33" t="str">
        <f t="shared" si="5"/>
        <v>D441</v>
      </c>
      <c r="C85" s="34" t="s">
        <v>1520</v>
      </c>
      <c r="D85" s="45">
        <f>SUMIF(BTDC!$G$8:$G$42,A85,BTDC!$I$8:$I$42)</f>
        <v>0</v>
      </c>
      <c r="E85" s="45">
        <f>SUMIF(BTDC!$H$8:$H$42,A85,BTDC!$I$8:$I$42)</f>
        <v>0</v>
      </c>
      <c r="F85" s="46">
        <f>E85-D85</f>
        <v>0</v>
      </c>
      <c r="G85" s="54" t="str">
        <f t="shared" si="4"/>
        <v/>
      </c>
      <c r="H85" s="54"/>
      <c r="I85" s="54"/>
      <c r="J85" s="54"/>
      <c r="K85" s="54"/>
      <c r="L85" s="54"/>
      <c r="M85" s="54"/>
      <c r="N85" s="54"/>
    </row>
    <row r="86" spans="1:14" s="27" customFormat="1" ht="14.25">
      <c r="A86" s="35" t="s">
        <v>1486</v>
      </c>
      <c r="B86" s="33" t="str">
        <f t="shared" si="5"/>
        <v>D461</v>
      </c>
      <c r="C86" s="34" t="s">
        <v>863</v>
      </c>
      <c r="D86" s="45">
        <f>SUMIF(BTDC!$G$8:$G$42,A86,BTDC!$I$8:$I$42)</f>
        <v>0</v>
      </c>
      <c r="E86" s="45">
        <f>SUMIF(BTDC!$H$8:$H$42,A86,BTDC!$I$8:$I$42)</f>
        <v>0</v>
      </c>
      <c r="F86" s="46">
        <f t="shared" si="3"/>
        <v>0</v>
      </c>
      <c r="G86" s="54" t="str">
        <f t="shared" si="4"/>
        <v/>
      </c>
      <c r="H86" s="54"/>
      <c r="I86" s="54"/>
      <c r="J86" s="54"/>
      <c r="K86" s="54"/>
      <c r="L86" s="54"/>
      <c r="M86" s="54"/>
      <c r="N86" s="54"/>
    </row>
    <row r="87" spans="1:14" s="27" customFormat="1" ht="14.25">
      <c r="A87" s="35" t="s">
        <v>1487</v>
      </c>
      <c r="B87" s="33" t="str">
        <f t="shared" si="5"/>
        <v>D466</v>
      </c>
      <c r="C87" s="34" t="s">
        <v>864</v>
      </c>
      <c r="D87" s="45">
        <f>SUMIF(BTDC!$G$8:$G$42,A87,BTDC!$I$8:$I$42)</f>
        <v>0</v>
      </c>
      <c r="E87" s="45">
        <f>SUMIF(BTDC!$H$8:$H$42,A87,BTDC!$I$8:$I$42)</f>
        <v>0</v>
      </c>
      <c r="F87" s="46">
        <f t="shared" si="3"/>
        <v>0</v>
      </c>
      <c r="G87" s="54" t="str">
        <f t="shared" si="4"/>
        <v/>
      </c>
      <c r="H87" s="54"/>
      <c r="I87" s="54"/>
      <c r="J87" s="54"/>
      <c r="K87" s="54"/>
      <c r="L87" s="54"/>
      <c r="M87" s="54"/>
      <c r="N87" s="54"/>
    </row>
    <row r="88" spans="1:14" s="27" customFormat="1" ht="14.25">
      <c r="A88" s="35">
        <v>511</v>
      </c>
      <c r="B88" s="33" t="str">
        <f t="shared" si="5"/>
        <v>511</v>
      </c>
      <c r="C88" s="34" t="s">
        <v>1564</v>
      </c>
      <c r="D88" s="45">
        <f>SUMIF(BTDC!$G$8:$G$42,A88,BTDC!$I$8:$I$42)</f>
        <v>0</v>
      </c>
      <c r="E88" s="45">
        <f>SUMIF(BTDC!$H$8:$H$42,A88,BTDC!$I$8:$I$42)</f>
        <v>0</v>
      </c>
      <c r="F88" s="46">
        <f>E88-D88</f>
        <v>0</v>
      </c>
      <c r="G88" s="54" t="str">
        <f t="shared" si="4"/>
        <v/>
      </c>
      <c r="H88" s="54"/>
      <c r="I88" s="54"/>
      <c r="J88" s="54"/>
      <c r="K88" s="54"/>
      <c r="L88" s="54"/>
      <c r="M88" s="54"/>
      <c r="N88" s="54"/>
    </row>
    <row r="89" spans="1:14" s="27" customFormat="1" ht="14.25">
      <c r="A89" s="35">
        <v>5117</v>
      </c>
      <c r="B89" s="33" t="str">
        <f t="shared" si="5"/>
        <v>5117</v>
      </c>
      <c r="C89" s="34" t="s">
        <v>1131</v>
      </c>
      <c r="D89" s="45">
        <f>SUMIF(BTDC!$G$8:$G$42,A89,BTDC!$I$8:$I$42)</f>
        <v>0</v>
      </c>
      <c r="E89" s="45">
        <f>SUMIF(BTDC!$H$8:$H$42,A89,BTDC!$I$8:$I$42)</f>
        <v>0</v>
      </c>
      <c r="F89" s="46">
        <f>E89-D89</f>
        <v>0</v>
      </c>
      <c r="G89" s="54" t="str">
        <f t="shared" si="4"/>
        <v/>
      </c>
      <c r="H89" s="54"/>
      <c r="I89" s="54"/>
      <c r="J89" s="54"/>
      <c r="K89" s="54"/>
      <c r="L89" s="54"/>
      <c r="M89" s="54"/>
      <c r="N89" s="54"/>
    </row>
    <row r="90" spans="1:14" s="27" customFormat="1" ht="14.25">
      <c r="A90" s="35">
        <v>515</v>
      </c>
      <c r="B90" s="33" t="str">
        <f t="shared" si="5"/>
        <v>515</v>
      </c>
      <c r="C90" s="34" t="s">
        <v>1565</v>
      </c>
      <c r="D90" s="45">
        <f>SUMIF(BTDC!$G$8:$G$42,A90,BTDC!$I$8:$I$42)</f>
        <v>0</v>
      </c>
      <c r="E90" s="45">
        <f>SUMIF(BTDC!$H$8:$H$42,A90,BTDC!$I$8:$I$42)</f>
        <v>0</v>
      </c>
      <c r="F90" s="46">
        <f>E90-D90</f>
        <v>0</v>
      </c>
      <c r="G90" s="54" t="str">
        <f t="shared" si="4"/>
        <v/>
      </c>
      <c r="H90" s="54"/>
      <c r="I90" s="54"/>
      <c r="J90" s="54"/>
      <c r="K90" s="54"/>
      <c r="L90" s="54"/>
      <c r="M90" s="54"/>
      <c r="N90" s="54"/>
    </row>
    <row r="91" spans="1:14" s="27" customFormat="1" ht="14.25">
      <c r="A91" s="35">
        <v>621</v>
      </c>
      <c r="B91" s="33" t="str">
        <f t="shared" si="5"/>
        <v>621</v>
      </c>
      <c r="C91" s="34" t="s">
        <v>1566</v>
      </c>
      <c r="D91" s="45">
        <f>SUMIF(BTDC!$G$8:$G$42,A91,BTDC!$I$8:$I$42)</f>
        <v>0</v>
      </c>
      <c r="E91" s="45">
        <f>SUMIF(BTDC!$H$8:$H$42,A91,BTDC!$I$8:$I$42)</f>
        <v>0</v>
      </c>
      <c r="F91" s="46">
        <f>D91-E91</f>
        <v>0</v>
      </c>
      <c r="G91" s="54" t="str">
        <f t="shared" si="4"/>
        <v/>
      </c>
      <c r="H91" s="54"/>
      <c r="I91" s="54"/>
      <c r="J91" s="54"/>
      <c r="K91" s="54"/>
      <c r="L91" s="54"/>
      <c r="M91" s="54"/>
      <c r="N91" s="54"/>
    </row>
    <row r="92" spans="1:14" s="27" customFormat="1" ht="14.25">
      <c r="A92" s="35">
        <v>622</v>
      </c>
      <c r="B92" s="33" t="str">
        <f t="shared" si="5"/>
        <v>622</v>
      </c>
      <c r="C92" s="34" t="s">
        <v>1567</v>
      </c>
      <c r="D92" s="45">
        <f>SUMIF(BTDC!$G$8:$G$42,A92,BTDC!$I$8:$I$42)</f>
        <v>0</v>
      </c>
      <c r="E92" s="45">
        <f>SUMIF(BTDC!$H$8:$H$42,A92,BTDC!$I$8:$I$42)</f>
        <v>0</v>
      </c>
      <c r="F92" s="46">
        <f t="shared" ref="F92:F100" si="6">D92-E92</f>
        <v>0</v>
      </c>
      <c r="G92" s="54" t="str">
        <f t="shared" si="4"/>
        <v/>
      </c>
      <c r="H92" s="54"/>
      <c r="I92" s="54"/>
      <c r="J92" s="54"/>
      <c r="K92" s="54"/>
      <c r="L92" s="54"/>
      <c r="M92" s="54"/>
      <c r="N92" s="54"/>
    </row>
    <row r="93" spans="1:14" s="27" customFormat="1" ht="14.25">
      <c r="A93" s="35">
        <v>623</v>
      </c>
      <c r="B93" s="33" t="str">
        <f>LEFT(A93,4)</f>
        <v>623</v>
      </c>
      <c r="C93" s="34" t="s">
        <v>1568</v>
      </c>
      <c r="D93" s="45">
        <f>SUMIF(BTDC!$G$8:$G$42,A93,BTDC!$I$8:$I$42)</f>
        <v>0</v>
      </c>
      <c r="E93" s="45">
        <f>SUMIF(BTDC!$H$8:$H$42,A93,BTDC!$I$8:$I$42)</f>
        <v>0</v>
      </c>
      <c r="F93" s="46">
        <f t="shared" si="6"/>
        <v>0</v>
      </c>
      <c r="G93" s="54" t="str">
        <f t="shared" si="4"/>
        <v/>
      </c>
      <c r="H93" s="54"/>
      <c r="I93" s="54"/>
      <c r="J93" s="54"/>
      <c r="K93" s="54"/>
      <c r="L93" s="54"/>
      <c r="M93" s="54"/>
      <c r="N93" s="54"/>
    </row>
    <row r="94" spans="1:14" s="27" customFormat="1" ht="14.25">
      <c r="A94" s="35">
        <v>627</v>
      </c>
      <c r="B94" s="33" t="str">
        <f t="shared" ref="B94:B102" si="7">LEFT(A94,4)</f>
        <v>627</v>
      </c>
      <c r="C94" s="34" t="s">
        <v>1569</v>
      </c>
      <c r="D94" s="45">
        <f>SUMIF(BTDC!$G$8:$G$42,A94,BTDC!$I$8:$I$42)</f>
        <v>0</v>
      </c>
      <c r="E94" s="45">
        <f>SUMIF(BTDC!$H$8:$H$42,A94,BTDC!$I$8:$I$42)</f>
        <v>0</v>
      </c>
      <c r="F94" s="46">
        <f t="shared" si="6"/>
        <v>0</v>
      </c>
      <c r="G94" s="54" t="str">
        <f t="shared" si="4"/>
        <v/>
      </c>
      <c r="H94" s="54"/>
      <c r="I94" s="54"/>
      <c r="J94" s="54"/>
      <c r="K94" s="54"/>
      <c r="L94" s="54"/>
      <c r="M94" s="54"/>
      <c r="N94" s="54"/>
    </row>
    <row r="95" spans="1:14" s="27" customFormat="1" ht="14.25">
      <c r="A95" s="35">
        <v>632</v>
      </c>
      <c r="B95" s="33" t="str">
        <f t="shared" si="7"/>
        <v>632</v>
      </c>
      <c r="C95" s="34" t="s">
        <v>665</v>
      </c>
      <c r="D95" s="45">
        <f>SUMIF(BTDC!$G$8:$G$42,A95,BTDC!$I$8:$I$42)</f>
        <v>0</v>
      </c>
      <c r="E95" s="45">
        <f>SUMIF(BTDC!$H$8:$H$42,A95,BTDC!$I$8:$I$42)</f>
        <v>0</v>
      </c>
      <c r="F95" s="46">
        <f t="shared" si="6"/>
        <v>0</v>
      </c>
      <c r="G95" s="54" t="str">
        <f t="shared" si="4"/>
        <v/>
      </c>
      <c r="H95" s="54"/>
      <c r="I95" s="54"/>
      <c r="J95" s="54"/>
      <c r="K95" s="54"/>
      <c r="L95" s="54"/>
      <c r="M95" s="54"/>
      <c r="N95" s="54"/>
    </row>
    <row r="96" spans="1:14" s="27" customFormat="1" ht="14.25">
      <c r="A96" s="35">
        <v>635</v>
      </c>
      <c r="B96" s="33" t="str">
        <f t="shared" si="7"/>
        <v>635</v>
      </c>
      <c r="C96" s="34" t="s">
        <v>670</v>
      </c>
      <c r="D96" s="45">
        <f>SUMIF(BTDC!$G$8:$G$42,A96,BTDC!$I$8:$I$42)</f>
        <v>0</v>
      </c>
      <c r="E96" s="45">
        <f>SUMIF(BTDC!$H$8:$H$42,A96,BTDC!$I$8:$I$42)</f>
        <v>0</v>
      </c>
      <c r="F96" s="46">
        <f t="shared" si="6"/>
        <v>0</v>
      </c>
      <c r="G96" s="54" t="str">
        <f t="shared" si="4"/>
        <v/>
      </c>
      <c r="H96" s="54"/>
      <c r="I96" s="54"/>
      <c r="J96" s="54"/>
      <c r="K96" s="54"/>
      <c r="L96" s="54"/>
      <c r="M96" s="54"/>
      <c r="N96" s="54"/>
    </row>
    <row r="97" spans="1:14" s="27" customFormat="1" ht="14.25">
      <c r="A97" s="35">
        <v>641</v>
      </c>
      <c r="B97" s="33" t="str">
        <f t="shared" si="7"/>
        <v>641</v>
      </c>
      <c r="C97" s="34" t="s">
        <v>674</v>
      </c>
      <c r="D97" s="45">
        <f>SUMIF(BTDC!$G$8:$G$42,A97,BTDC!$I$8:$I$42)</f>
        <v>0</v>
      </c>
      <c r="E97" s="45">
        <f>SUMIF(BTDC!$H$8:$H$42,A97,BTDC!$I$8:$I$42)</f>
        <v>0</v>
      </c>
      <c r="F97" s="46">
        <f t="shared" si="6"/>
        <v>0</v>
      </c>
      <c r="G97" s="54" t="str">
        <f t="shared" si="4"/>
        <v/>
      </c>
      <c r="H97" s="54"/>
      <c r="I97" s="54"/>
      <c r="J97" s="54"/>
      <c r="K97" s="54"/>
      <c r="L97" s="54"/>
      <c r="M97" s="54"/>
      <c r="N97" s="54"/>
    </row>
    <row r="98" spans="1:14" s="27" customFormat="1" ht="14.25">
      <c r="A98" s="35">
        <v>642</v>
      </c>
      <c r="B98" s="33" t="str">
        <f t="shared" si="7"/>
        <v>642</v>
      </c>
      <c r="C98" s="34" t="s">
        <v>677</v>
      </c>
      <c r="D98" s="45">
        <f>SUMIF(BTDC!$G$8:$G$42,A98,BTDC!$I$8:$I$42)</f>
        <v>0</v>
      </c>
      <c r="E98" s="45">
        <f>SUMIF(BTDC!$H$8:$H$42,A98,BTDC!$I$8:$I$42)</f>
        <v>0</v>
      </c>
      <c r="F98" s="46">
        <f t="shared" si="6"/>
        <v>0</v>
      </c>
      <c r="G98" s="54" t="str">
        <f t="shared" si="4"/>
        <v/>
      </c>
      <c r="H98" s="54"/>
      <c r="I98" s="54"/>
      <c r="J98" s="54"/>
      <c r="K98" s="54"/>
      <c r="L98" s="54"/>
      <c r="M98" s="54"/>
      <c r="N98" s="54"/>
    </row>
    <row r="99" spans="1:14" s="27" customFormat="1" ht="14.25">
      <c r="A99" s="35">
        <v>711</v>
      </c>
      <c r="B99" s="33" t="str">
        <f t="shared" si="7"/>
        <v>711</v>
      </c>
      <c r="C99" s="34" t="s">
        <v>681</v>
      </c>
      <c r="D99" s="45">
        <f>SUMIF(BTDC!$G$8:$G$42,A99,BTDC!$I$8:$I$42)</f>
        <v>0</v>
      </c>
      <c r="E99" s="45">
        <f>SUMIF(BTDC!$H$8:$H$42,A99,BTDC!$I$8:$I$42)</f>
        <v>0</v>
      </c>
      <c r="F99" s="46">
        <f>E99-D99</f>
        <v>0</v>
      </c>
      <c r="G99" s="54" t="str">
        <f t="shared" si="4"/>
        <v/>
      </c>
      <c r="H99" s="54"/>
      <c r="I99" s="54"/>
      <c r="J99" s="54"/>
      <c r="K99" s="54"/>
      <c r="L99" s="54"/>
      <c r="M99" s="54"/>
      <c r="N99" s="54"/>
    </row>
    <row r="100" spans="1:14" s="27" customFormat="1" ht="14.25">
      <c r="A100" s="35">
        <v>811</v>
      </c>
      <c r="B100" s="33" t="str">
        <f t="shared" si="7"/>
        <v>811</v>
      </c>
      <c r="C100" s="34" t="s">
        <v>684</v>
      </c>
      <c r="D100" s="45">
        <f>SUMIF(BTDC!$G$8:$G$42,A100,BTDC!$I$8:$I$42)</f>
        <v>0</v>
      </c>
      <c r="E100" s="45">
        <f>SUMIF(BTDC!$H$8:$H$42,A100,BTDC!$I$8:$I$42)</f>
        <v>0</v>
      </c>
      <c r="F100" s="46">
        <f t="shared" si="6"/>
        <v>0</v>
      </c>
      <c r="G100" s="54" t="str">
        <f t="shared" si="4"/>
        <v/>
      </c>
      <c r="H100" s="54"/>
      <c r="I100" s="54"/>
      <c r="J100" s="54"/>
      <c r="K100" s="54"/>
      <c r="L100" s="54"/>
      <c r="M100" s="54"/>
      <c r="N100" s="54"/>
    </row>
    <row r="101" spans="1:14" s="27" customFormat="1" ht="14.25">
      <c r="A101" s="35">
        <v>821</v>
      </c>
      <c r="B101" s="33" t="str">
        <f t="shared" si="7"/>
        <v>821</v>
      </c>
      <c r="C101" s="34" t="s">
        <v>254</v>
      </c>
      <c r="D101" s="45">
        <f>SUMIF(BTDC!$G$8:$G$42,A101,BTDC!$I$8:$I$42)</f>
        <v>0</v>
      </c>
      <c r="E101" s="45">
        <f>SUMIF(BTDC!$H$8:$H$42,A101,BTDC!$I$8:$I$42)</f>
        <v>0</v>
      </c>
      <c r="F101" s="46">
        <f>D101-E101</f>
        <v>0</v>
      </c>
      <c r="G101" s="54" t="str">
        <f>IF(OR(D101&lt;&gt;0,E101&lt;&gt;0),"Print","")</f>
        <v/>
      </c>
      <c r="H101" s="54"/>
      <c r="I101" s="54"/>
      <c r="J101" s="54"/>
      <c r="K101" s="54"/>
      <c r="L101" s="54"/>
      <c r="M101" s="54"/>
      <c r="N101" s="54"/>
    </row>
    <row r="102" spans="1:14" s="27" customFormat="1" ht="14.25">
      <c r="A102" s="35">
        <v>911</v>
      </c>
      <c r="B102" s="33" t="str">
        <f t="shared" si="7"/>
        <v>911</v>
      </c>
      <c r="C102" s="34" t="s">
        <v>1570</v>
      </c>
      <c r="D102" s="45">
        <f>SUMIF(BTDC!$G$8:$G$42,A102,BTDC!$I$8:$I$42)</f>
        <v>0</v>
      </c>
      <c r="E102" s="45">
        <f>SUMIF(BTDC!$H$8:$H$42,A102,BTDC!$I$8:$I$42)</f>
        <v>0</v>
      </c>
      <c r="F102" s="46">
        <f>IF((D102-E102)&lt;0,-(D102-E102),0)</f>
        <v>0</v>
      </c>
      <c r="G102" s="54" t="str">
        <f t="shared" si="4"/>
        <v/>
      </c>
      <c r="H102" s="54"/>
      <c r="I102" s="54"/>
      <c r="J102" s="54"/>
      <c r="K102" s="54"/>
      <c r="L102" s="54"/>
      <c r="M102" s="54"/>
      <c r="N102" s="54"/>
    </row>
    <row r="103" spans="1:14" s="28" customFormat="1">
      <c r="A103" s="38"/>
      <c r="B103" s="38"/>
      <c r="C103" s="39"/>
      <c r="D103" s="45"/>
      <c r="E103" s="45"/>
      <c r="F103" s="46"/>
      <c r="G103" s="54" t="str">
        <f t="shared" si="4"/>
        <v/>
      </c>
      <c r="H103" s="55"/>
      <c r="I103" s="55"/>
      <c r="J103" s="55"/>
      <c r="K103" s="55"/>
      <c r="L103" s="55"/>
      <c r="M103" s="55"/>
      <c r="N103" s="55"/>
    </row>
    <row r="104" spans="1:14" s="27" customFormat="1">
      <c r="A104" s="40"/>
      <c r="B104" s="40"/>
      <c r="C104" s="41" t="s">
        <v>1571</v>
      </c>
      <c r="D104" s="47">
        <f>SUM(D7:D103)</f>
        <v>0</v>
      </c>
      <c r="E104" s="47">
        <f>SUM(E7:E103)</f>
        <v>0</v>
      </c>
      <c r="F104" s="47">
        <f>SUM(F7:F103)</f>
        <v>0</v>
      </c>
      <c r="G104" s="54" t="str">
        <f t="shared" si="4"/>
        <v/>
      </c>
      <c r="H104" s="54"/>
      <c r="I104" s="54"/>
      <c r="J104" s="54"/>
      <c r="K104" s="54"/>
      <c r="L104" s="54"/>
      <c r="M104" s="54"/>
      <c r="N104" s="54"/>
    </row>
    <row r="105" spans="1:14">
      <c r="D105" s="43">
        <f>D104-E104</f>
        <v>0</v>
      </c>
    </row>
    <row r="106" spans="1:14" s="30" customFormat="1" ht="15.75">
      <c r="A106" s="29"/>
      <c r="B106" s="29"/>
      <c r="D106" s="48"/>
      <c r="E106" s="48"/>
      <c r="F106" s="48"/>
      <c r="G106" s="48"/>
      <c r="H106" s="48"/>
      <c r="I106" s="48"/>
      <c r="J106" s="48"/>
      <c r="K106" s="48"/>
      <c r="L106" s="48"/>
      <c r="M106" s="48"/>
      <c r="N106" s="48"/>
    </row>
    <row r="107" spans="1:14" s="32" customFormat="1" ht="15.75">
      <c r="A107" s="31"/>
      <c r="B107" s="31"/>
      <c r="D107" s="2"/>
      <c r="E107" s="2"/>
      <c r="F107" s="2"/>
      <c r="G107" s="2"/>
      <c r="H107" s="2"/>
      <c r="I107" s="2"/>
      <c r="J107" s="2"/>
      <c r="K107" s="2"/>
      <c r="L107" s="2"/>
      <c r="M107" s="2"/>
      <c r="N107" s="2"/>
    </row>
    <row r="110" spans="1:14">
      <c r="D110" s="147"/>
      <c r="F110" s="49"/>
    </row>
    <row r="111" spans="1:14">
      <c r="D111" s="147"/>
    </row>
    <row r="112" spans="1:14">
      <c r="D112" s="147"/>
    </row>
  </sheetData>
  <mergeCells count="7">
    <mergeCell ref="A2:F2"/>
    <mergeCell ref="A3:F3"/>
    <mergeCell ref="D5:E5"/>
    <mergeCell ref="C5:C6"/>
    <mergeCell ref="F5:F6"/>
    <mergeCell ref="A5:A6"/>
    <mergeCell ref="B5:B6"/>
  </mergeCells>
  <phoneticPr fontId="0" type="noConversion"/>
  <printOptions horizontalCentered="1"/>
  <pageMargins left="0.5" right="0.5" top="0.5" bottom="0.56999999999999995" header="0.25" footer="0.31"/>
  <pageSetup paperSize="9" firstPageNumber="5" orientation="landscape" useFirstPageNumber="1" horizontalDpi="300" verticalDpi="300" r:id="rId1"/>
  <headerFooter alignWithMargins="0"/>
  <ignoredErrors>
    <ignoredError sqref="F99" formula="1"/>
  </ignoredErrors>
</worksheet>
</file>

<file path=xl/worksheets/sheet8.xml><?xml version="1.0" encoding="utf-8"?>
<worksheet xmlns="http://schemas.openxmlformats.org/spreadsheetml/2006/main" xmlns:r="http://schemas.openxmlformats.org/officeDocument/2006/relationships">
  <dimension ref="A1"/>
  <sheetViews>
    <sheetView showGridLines="0" showRowColHeaders="0" showZeros="0" showOutlineSymbols="0" topLeftCell="B20" zoomScaleNormal="32" zoomScaleSheetLayoutView="6" workbookViewId="0"/>
  </sheetViews>
  <sheetFormatPr defaultRowHeight="15"/>
  <sheetData/>
  <phoneticPr fontId="180"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dimension ref="A1"/>
  <sheetViews>
    <sheetView showGridLines="0" showRowColHeaders="0" showZeros="0" showOutlineSymbols="0" topLeftCell="B20" zoomScaleNormal="32" zoomScaleSheetLayoutView="6" workbookViewId="0"/>
  </sheetViews>
  <sheetFormatPr defaultRowHeight="15"/>
  <sheetData/>
  <phoneticPr fontId="18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22</vt:i4>
      </vt:variant>
    </vt:vector>
  </HeadingPairs>
  <TitlesOfParts>
    <vt:vector size="40" baseType="lpstr">
      <vt:lpstr>foxz</vt:lpstr>
      <vt:lpstr>TGTSCD</vt:lpstr>
      <vt:lpstr>Ten </vt:lpstr>
      <vt:lpstr>BCDPS</vt:lpstr>
      <vt:lpstr>BTDC</vt:lpstr>
      <vt:lpstr>TH DC</vt:lpstr>
      <vt:lpstr>01-Bia</vt:lpstr>
      <vt:lpstr>02-BGD</vt:lpstr>
      <vt:lpstr>BS</vt:lpstr>
      <vt:lpstr>LCTT&lt;GT&gt;</vt:lpstr>
      <vt:lpstr>PI</vt:lpstr>
      <vt:lpstr>LCTT&lt;TT&gt;</vt:lpstr>
      <vt:lpstr>Note 1_7</vt:lpstr>
      <vt:lpstr>Note 8_TSCD</vt:lpstr>
      <vt:lpstr>Note 9_21</vt:lpstr>
      <vt:lpstr>Note 22_NV</vt:lpstr>
      <vt:lpstr>Note 23_het </vt:lpstr>
      <vt:lpstr>Sheet1</vt:lpstr>
      <vt:lpstr>'01-Bia'!Print_Area</vt:lpstr>
      <vt:lpstr>BS!Print_Area</vt:lpstr>
      <vt:lpstr>BTDC!Print_Area</vt:lpstr>
      <vt:lpstr>'LCTT&lt;TT&gt;'!Print_Area</vt:lpstr>
      <vt:lpstr>'Note 1_7'!Print_Area</vt:lpstr>
      <vt:lpstr>'Note 22_NV'!Print_Area</vt:lpstr>
      <vt:lpstr>'Note 23_het '!Print_Area</vt:lpstr>
      <vt:lpstr>'Note 8_TSCD'!Print_Area</vt:lpstr>
      <vt:lpstr>'Note 9_21'!Print_Area</vt:lpstr>
      <vt:lpstr>PI!Print_Area</vt:lpstr>
      <vt:lpstr>TGTSCD!Print_Area</vt:lpstr>
      <vt:lpstr>'TH DC'!Print_Area</vt:lpstr>
      <vt:lpstr>'01-Bia'!Print_Titles</vt:lpstr>
      <vt:lpstr>BS!Print_Titles</vt:lpstr>
      <vt:lpstr>BTDC!Print_Titles</vt:lpstr>
      <vt:lpstr>'Note 1_7'!Print_Titles</vt:lpstr>
      <vt:lpstr>'Note 23_het '!Print_Titles</vt:lpstr>
      <vt:lpstr>'Note 8_TSCD'!Print_Titles</vt:lpstr>
      <vt:lpstr>'Note 9_21'!Print_Titles</vt:lpstr>
      <vt:lpstr>PI!Print_Titles</vt:lpstr>
      <vt:lpstr>TGTSCD!Print_Titles</vt:lpstr>
      <vt:lpstr>'TH DC'!Print_Titles</vt:lpstr>
    </vt:vector>
  </TitlesOfParts>
  <Company>acer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Cop.</dc:creator>
  <cp:lastModifiedBy>TungHacker</cp:lastModifiedBy>
  <cp:lastPrinted>2013-09-10T03:50:56Z</cp:lastPrinted>
  <dcterms:created xsi:type="dcterms:W3CDTF">2005-07-28T03:48:32Z</dcterms:created>
  <dcterms:modified xsi:type="dcterms:W3CDTF">2013-09-10T07:37:05Z</dcterms:modified>
</cp:coreProperties>
</file>

<file path=package/services/digital-signature/_rels/origin.psdsor.rels>&#65279;<?xml version="1.0" encoding="utf-8"?><Relationships xmlns="http://schemas.openxmlformats.org/package/2006/relationships"><Relationship Type="http://schemas.openxmlformats.org/package/2006/relationships/digital-signature/signature" Target="/package/services/digital-signature/xml-signature/3b8e587ebc9545f4a93f9f9d01e61026.psdsxs" Id="R9ff5ba8d8a3845af" /></Relationships>
</file>